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CC9C9B38-454F-463E-ACE2-34C129254C2F}" xr6:coauthVersionLast="47" xr6:coauthVersionMax="47" xr10:uidLastSave="{00000000-0000-0000-0000-000000000000}"/>
  <workbookProtection workbookAlgorithmName="SHA-512" workbookHashValue="je/8BAR9opS0HRjH0ys/WBlDyj1zmKbIQiMhWi0n9SyZ57xLc2/cmV1fUxvDhbMSpxVxlhPjXzv7GWHAe03QPQ==" workbookSaltValue="ad8nzjd3GBr7AH8uhdsFsQ==" workbookSpinCount="100000" lockStructure="1"/>
  <bookViews>
    <workbookView xWindow="-120" yWindow="-120" windowWidth="20730" windowHeight="11160" tabRatio="658" xr2:uid="{00000000-000D-0000-FFFF-FFFF00000000}"/>
  </bookViews>
  <sheets>
    <sheet name="دستمزد 1404" sheetId="5" r:id="rId1"/>
    <sheet name="11" sheetId="7" state="veryHidden" r:id="rId2"/>
    <sheet name="Sheet2" sheetId="6" state="veryHidden" r:id="rId3"/>
    <sheet name="ورود اطلاعات (2)" sheetId="10" state="veryHidden" r:id="rId4"/>
  </sheets>
  <definedNames>
    <definedName name="_xlnm.Print_Area" localSheetId="1">'11'!$B$1:$G$40</definedName>
    <definedName name="_xlnm.Print_Area" localSheetId="0">'دستمزد 1404'!$B$1:$G$32</definedName>
    <definedName name="_xlnm.Print_Area" localSheetId="3">'ورود اطلاعات (2)'!$B$1:$G$28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5" l="1"/>
  <c r="AJ33" i="7"/>
  <c r="F17" i="5"/>
  <c r="F23" i="5"/>
  <c r="F27" i="5" s="1"/>
  <c r="F16" i="5"/>
  <c r="G16" i="5"/>
  <c r="F24" i="5"/>
  <c r="G24" i="5" s="1"/>
  <c r="AK33" i="7"/>
  <c r="AK30" i="7"/>
  <c r="G23" i="5" l="1"/>
  <c r="AR3" i="7"/>
  <c r="G14" i="5" s="1"/>
  <c r="AR14" i="7"/>
  <c r="AQ16" i="7"/>
  <c r="G27" i="5" l="1"/>
  <c r="F15" i="5"/>
  <c r="F14" i="5"/>
  <c r="I4" i="7"/>
  <c r="G15" i="5" l="1"/>
  <c r="G20" i="5" s="1"/>
  <c r="F20" i="5"/>
  <c r="G26" i="5" s="1"/>
  <c r="AN26" i="7"/>
  <c r="G25" i="5" l="1"/>
  <c r="AO26" i="7"/>
  <c r="AO28" i="7" s="1"/>
  <c r="AQ14" i="7"/>
  <c r="AN25" i="7" l="1"/>
  <c r="AO25" i="7" s="1"/>
  <c r="AL26" i="7"/>
  <c r="AL25" i="7"/>
  <c r="AJ26" i="7"/>
  <c r="AK26" i="7" s="1"/>
  <c r="AJ25" i="7"/>
  <c r="AK25" i="7" s="1"/>
  <c r="AQ11" i="7" s="1"/>
  <c r="AM26" i="7" l="1"/>
  <c r="AM25" i="7"/>
  <c r="AR11" i="7" l="1"/>
  <c r="AR13" i="7"/>
  <c r="AQ13" i="7"/>
  <c r="AE2" i="7"/>
  <c r="AF23" i="7"/>
  <c r="AF22" i="7"/>
  <c r="AF21" i="7"/>
  <c r="AF20" i="7"/>
  <c r="AF19" i="7"/>
  <c r="AF18" i="7"/>
  <c r="AF17" i="7"/>
  <c r="AF16" i="7"/>
  <c r="AF15" i="7"/>
  <c r="AF14" i="7"/>
  <c r="AF13" i="7"/>
  <c r="AF12" i="7"/>
  <c r="AF11" i="7"/>
  <c r="AF10" i="7"/>
  <c r="AF9" i="7"/>
  <c r="AF8" i="7"/>
  <c r="AF7" i="7"/>
  <c r="AF6" i="7"/>
  <c r="AF5" i="7"/>
  <c r="AF4" i="7"/>
  <c r="AF2" i="7" s="1"/>
  <c r="Z6" i="7"/>
  <c r="AA6" i="7" s="1"/>
  <c r="Z7" i="7"/>
  <c r="AA7" i="7" s="1"/>
  <c r="Z8" i="7"/>
  <c r="AA8" i="7" s="1"/>
  <c r="Z9" i="7"/>
  <c r="AA9" i="7" s="1"/>
  <c r="Z10" i="7"/>
  <c r="AA10" i="7" s="1"/>
  <c r="Z11" i="7"/>
  <c r="AA11" i="7" s="1"/>
  <c r="Z12" i="7"/>
  <c r="AA12" i="7" s="1"/>
  <c r="Z13" i="7"/>
  <c r="AA13" i="7" s="1"/>
  <c r="Z14" i="7"/>
  <c r="AA14" i="7" s="1"/>
  <c r="Z15" i="7"/>
  <c r="AA15" i="7" s="1"/>
  <c r="Z16" i="7"/>
  <c r="AA16" i="7" s="1"/>
  <c r="Z17" i="7"/>
  <c r="AA17" i="7" s="1"/>
  <c r="Z18" i="7"/>
  <c r="AA18" i="7" s="1"/>
  <c r="Z19" i="7"/>
  <c r="AA19" i="7" s="1"/>
  <c r="Z20" i="7"/>
  <c r="AA20" i="7" s="1"/>
  <c r="Z21" i="7"/>
  <c r="AA21" i="7" s="1"/>
  <c r="Z22" i="7"/>
  <c r="AA22" i="7" s="1"/>
  <c r="Z23" i="7"/>
  <c r="AA23" i="7" s="1"/>
  <c r="Z5" i="7"/>
  <c r="AA5" i="7" s="1"/>
  <c r="Z4" i="7"/>
  <c r="AA4" i="7" s="1"/>
  <c r="AA2" i="7" s="1"/>
  <c r="AF27" i="6" l="1"/>
  <c r="AF26" i="6"/>
  <c r="AI25" i="6"/>
  <c r="AH25" i="6"/>
  <c r="AI24" i="6"/>
  <c r="AH24" i="6"/>
  <c r="AI23" i="6"/>
  <c r="AH23" i="6"/>
  <c r="AI22" i="6"/>
  <c r="AH22" i="6"/>
  <c r="AI21" i="6"/>
  <c r="AH21" i="6"/>
  <c r="AI20" i="6"/>
  <c r="AH20" i="6"/>
  <c r="AH26" i="6" l="1"/>
  <c r="AI26" i="6"/>
  <c r="AG26" i="6" l="1"/>
  <c r="AH28" i="6" s="1"/>
  <c r="H71" i="6" l="1"/>
  <c r="H65" i="6"/>
  <c r="H72" i="6"/>
  <c r="K48" i="10" l="1"/>
  <c r="Q7" i="10" l="1"/>
  <c r="Q6" i="10"/>
  <c r="AC8" i="10"/>
  <c r="D8" i="10"/>
  <c r="AC6" i="10"/>
  <c r="AC5" i="10"/>
  <c r="AC4" i="10"/>
  <c r="AC3" i="10"/>
  <c r="Z3" i="10"/>
  <c r="AC2" i="10"/>
  <c r="Z2" i="10"/>
  <c r="AC1" i="10"/>
  <c r="Z1" i="10"/>
  <c r="AC7" i="10" l="1"/>
  <c r="AD7" i="10" s="1"/>
  <c r="AD8" i="10"/>
  <c r="Z4" i="10"/>
  <c r="AC9" i="10" s="1"/>
  <c r="AC10" i="10" l="1"/>
  <c r="AC11" i="10" s="1"/>
  <c r="AD9" i="10"/>
  <c r="AD10" i="10" s="1"/>
  <c r="AD11" i="10" s="1"/>
  <c r="K11" i="10" l="1"/>
  <c r="Q8" i="10" s="1"/>
  <c r="R7" i="10" s="1"/>
  <c r="Q9" i="10" s="1"/>
  <c r="K12" i="10" s="1"/>
  <c r="G57" i="6" l="1"/>
  <c r="H57" i="6" s="1"/>
  <c r="R6" i="10"/>
  <c r="G55" i="6" l="1"/>
  <c r="G66" i="6"/>
  <c r="H66" i="6" s="1"/>
  <c r="G56" i="6"/>
  <c r="H56" i="6" s="1"/>
  <c r="H55" i="6" l="1"/>
  <c r="G58" i="6"/>
  <c r="AG39" i="6"/>
  <c r="H58" i="6" l="1"/>
  <c r="AA5" i="6"/>
  <c r="AC5" i="6"/>
  <c r="AA6" i="6"/>
  <c r="AC6" i="6"/>
  <c r="AA7" i="6"/>
  <c r="AC7" i="6"/>
  <c r="AA8" i="6"/>
  <c r="AC8" i="6"/>
  <c r="AA9" i="6"/>
  <c r="AC9" i="6"/>
  <c r="AA10" i="6"/>
  <c r="AC10" i="6"/>
  <c r="AC12" i="6"/>
  <c r="Z23" i="6"/>
  <c r="Z24" i="6"/>
  <c r="Z25" i="6"/>
  <c r="Z26" i="6"/>
  <c r="Z27" i="6"/>
  <c r="Z28" i="6"/>
  <c r="Z29" i="6"/>
  <c r="Z30" i="6"/>
  <c r="Z31" i="6"/>
  <c r="Z32" i="6"/>
  <c r="Z33" i="6"/>
  <c r="Z34" i="6"/>
  <c r="Z35" i="6"/>
  <c r="Z36" i="6"/>
  <c r="Z37" i="6"/>
  <c r="Z38" i="6"/>
  <c r="Z39" i="6"/>
  <c r="Z40" i="6"/>
  <c r="AG40" i="6"/>
  <c r="AL40" i="6" s="1"/>
  <c r="Z41" i="6"/>
  <c r="AB41" i="6"/>
  <c r="AD41" i="6" s="1"/>
  <c r="AG41" i="6"/>
  <c r="AI41" i="6" s="1"/>
  <c r="Z42" i="6"/>
  <c r="AG42" i="6"/>
  <c r="AL42" i="6" s="1"/>
  <c r="Z43" i="6"/>
  <c r="AG43" i="6"/>
  <c r="G74" i="6"/>
  <c r="H74" i="6" s="1"/>
  <c r="G73" i="6"/>
  <c r="H73" i="6" s="1"/>
  <c r="G70" i="6"/>
  <c r="H70" i="6" s="1"/>
  <c r="G69" i="6"/>
  <c r="H69" i="6" s="1"/>
  <c r="G68" i="6"/>
  <c r="H68" i="6" s="1"/>
  <c r="G67" i="6"/>
  <c r="H67" i="6" s="1"/>
  <c r="G64" i="6"/>
  <c r="H64" i="6" s="1"/>
  <c r="G60" i="6"/>
  <c r="H60" i="6" s="1"/>
  <c r="H59" i="6"/>
  <c r="G76" i="6" l="1"/>
  <c r="I38" i="6"/>
  <c r="I39" i="6"/>
  <c r="AN43" i="6"/>
  <c r="AA11" i="6"/>
  <c r="AN39" i="6" s="1"/>
  <c r="AB11" i="6"/>
  <c r="AC11" i="6" s="1"/>
  <c r="AC13" i="6" s="1"/>
  <c r="Z44" i="6"/>
  <c r="AA44" i="6" s="1"/>
  <c r="AA42" i="6" s="1"/>
  <c r="AB42" i="6" s="1"/>
  <c r="AD42" i="6" s="1"/>
  <c r="AL43" i="6"/>
  <c r="AG44" i="6"/>
  <c r="AN41" i="6"/>
  <c r="AL41" i="6"/>
  <c r="AL39" i="6"/>
  <c r="AN42" i="6"/>
  <c r="AJ41" i="6"/>
  <c r="AN40" i="6"/>
  <c r="K51" i="10" l="1"/>
  <c r="K52" i="10" s="1"/>
  <c r="K50" i="10" s="1"/>
  <c r="K49" i="10" s="1"/>
  <c r="AA41" i="6"/>
  <c r="AB40" i="6" s="1"/>
  <c r="AD40" i="6" s="1"/>
  <c r="AL44" i="6"/>
  <c r="AA43" i="6"/>
  <c r="AB43" i="6" s="1"/>
  <c r="AD43" i="6" s="1"/>
  <c r="AN44" i="6"/>
  <c r="AA40" i="6"/>
  <c r="AD44" i="6" l="1"/>
  <c r="AI39" i="6" s="1"/>
  <c r="AI42" i="6" l="1"/>
  <c r="AJ42" i="6"/>
  <c r="AJ40" i="6"/>
  <c r="AI40" i="6"/>
  <c r="AJ39" i="6"/>
  <c r="AI43" i="6" l="1"/>
  <c r="AJ44" i="6" s="1"/>
  <c r="AJ43" i="6"/>
  <c r="I36" i="6" l="1"/>
  <c r="I33" i="6" s="1"/>
  <c r="H61" i="6" s="1"/>
  <c r="I34" i="6"/>
  <c r="AQ42" i="6" l="1"/>
  <c r="AQ38" i="6"/>
  <c r="I32" i="6" l="1"/>
  <c r="I31" i="6"/>
  <c r="H63" i="6" l="1"/>
  <c r="H62" i="6"/>
  <c r="H75" i="6" l="1"/>
  <c r="H76" i="6" s="1"/>
  <c r="AQ4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704" authorId="0" shapeId="0" xr:uid="{00000000-0006-0000-0000-000001000000}">
      <text>
        <r>
          <rPr>
            <b/>
            <sz val="10"/>
            <color indexed="81"/>
            <rFont val="B Nazanin"/>
            <charset val="178"/>
          </rPr>
          <t>در صورتی که تا قبل از سال ۹۸ بیش از 1000 ساعت آموزش ضمن خدمت داشته اید عدد صفر را وارد نمایید در غیر این صورت میزان ساعات آموزش سال 98 خود را وارد نمایید.</t>
        </r>
      </text>
    </comment>
    <comment ref="B705" authorId="0" shapeId="0" xr:uid="{00000000-0006-0000-0000-000002000000}">
      <text>
        <r>
          <rPr>
            <b/>
            <sz val="10"/>
            <color indexed="81"/>
            <rFont val="B Nazanin"/>
            <charset val="178"/>
          </rPr>
          <t>در صورتی پست شما مدیریتی بوده و بیش از 10 سال سابقه مدیریت (رپیس اداره و بالاتر) را دارید گزینه کارشناس را انتخاب نمایید.</t>
        </r>
      </text>
    </comment>
    <comment ref="B706" authorId="0" shapeId="0" xr:uid="{00000000-0006-0000-0000-000003000000}">
      <text>
        <r>
          <rPr>
            <b/>
            <sz val="10"/>
            <color indexed="81"/>
            <rFont val="B Nazanin"/>
            <charset val="178"/>
          </rPr>
          <t>در صورتی که سازمان شما مشمول افزایش امتیازات فصل دهم قانون مدیریت خدمات کشوری شده است، درصد افزایش امتیازات را وارد نمایید.</t>
        </r>
      </text>
    </comment>
    <comment ref="B712" authorId="0" shapeId="0" xr:uid="{00000000-0006-0000-0000-000004000000}">
      <text>
        <r>
          <rPr>
            <b/>
            <sz val="9"/>
            <color indexed="81"/>
            <rFont val="B Nazanin"/>
            <charset val="178"/>
          </rPr>
          <t>ماده ۷۱- سمتهای ذیل مدیریت سیاسی محسوب شده و به عنوان مقام شناخته می‌شوند:
الف - رؤسای سه قوه 
ب - معاون اول رئیس جمهور، نواب رئیس مجلس شورای اسلامی و اعضاء شورای نگهبان 
ج - وزراء، نمایندگان مجلس شورای اسلامی و معاونین رئیس جمهور 
د- استانداران و سفراء 
هـ- معاونین وزراء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3" authorId="0" shapeId="0" xr:uid="{00000000-0006-0000-0100-000001000000}">
      <text>
        <r>
          <rPr>
            <b/>
            <sz val="9"/>
            <color indexed="81"/>
            <rFont val="Tahoma"/>
            <family val="2"/>
          </rPr>
          <t>در صورتی که مشمول طرح طبقه بندی نمی باشید عدد یک (۱) را وارد نمایید</t>
        </r>
      </text>
    </comment>
  </commentList>
</comments>
</file>

<file path=xl/sharedStrings.xml><?xml version="1.0" encoding="utf-8"?>
<sst xmlns="http://schemas.openxmlformats.org/spreadsheetml/2006/main" count="240" uniqueCount="183">
  <si>
    <t>امتیاز</t>
  </si>
  <si>
    <t>مبلغ (ریال)</t>
  </si>
  <si>
    <t>حق شغل</t>
  </si>
  <si>
    <t>فوق العاده مدیریت</t>
  </si>
  <si>
    <t>حق شاغل</t>
  </si>
  <si>
    <t>جمع</t>
  </si>
  <si>
    <t>تفاوت تطبیق</t>
  </si>
  <si>
    <t>سایر</t>
  </si>
  <si>
    <t>بلی</t>
  </si>
  <si>
    <t>خیر</t>
  </si>
  <si>
    <t>حقوق و فوق العاده ها</t>
  </si>
  <si>
    <t>فوق العاده شغل</t>
  </si>
  <si>
    <t>فوق العاده ایثارگری</t>
  </si>
  <si>
    <t>خدمت در مناطق جنگی</t>
  </si>
  <si>
    <t>فوق العاده نشان های دولتی</t>
  </si>
  <si>
    <t>فوق العاده سختی شرایط محیط کار</t>
  </si>
  <si>
    <t>حق عائله مندی</t>
  </si>
  <si>
    <t>حق اولاد</t>
  </si>
  <si>
    <t>حقوق ثابت</t>
  </si>
  <si>
    <t>فوق العاده ویژه</t>
  </si>
  <si>
    <t>فوق العاده بدی آب و هوا</t>
  </si>
  <si>
    <t>فوق العاده مناطق کمتر توسعه یافته</t>
  </si>
  <si>
    <t>مدرک تحصیلی</t>
  </si>
  <si>
    <t>دیپلم</t>
  </si>
  <si>
    <t>فوق دیپلم</t>
  </si>
  <si>
    <t>لیسانس</t>
  </si>
  <si>
    <t>زیر دیپلم</t>
  </si>
  <si>
    <t>طبقه</t>
  </si>
  <si>
    <t>رتبه</t>
  </si>
  <si>
    <t>مقدماتی</t>
  </si>
  <si>
    <t>پایه</t>
  </si>
  <si>
    <t>ارشد</t>
  </si>
  <si>
    <t>خبره</t>
  </si>
  <si>
    <t>عالی</t>
  </si>
  <si>
    <t>فوق لیسانس</t>
  </si>
  <si>
    <t>دکتری</t>
  </si>
  <si>
    <t>تحصیلات</t>
  </si>
  <si>
    <t xml:space="preserve">طبقه </t>
  </si>
  <si>
    <t>حق شغل کارمند</t>
  </si>
  <si>
    <t>رتبه بندی فرهنگیان</t>
  </si>
  <si>
    <t>حق شغل فرهنگیان</t>
  </si>
  <si>
    <t>سایر اطلاعات</t>
  </si>
  <si>
    <t>امتیاز تحصیلات و مهارت</t>
  </si>
  <si>
    <t>ابتدایی</t>
  </si>
  <si>
    <t>متوسطه</t>
  </si>
  <si>
    <t>در چه مقطعی تدریس می کنید؟</t>
  </si>
  <si>
    <t>سنوات خدمت قابل قبول (سال)</t>
  </si>
  <si>
    <t>امتیاز سنوات و تجربه</t>
  </si>
  <si>
    <t>سنوات خدمت قابل قبول (ماه)</t>
  </si>
  <si>
    <t>کل ساعات آموزش ضمن خدمت مورد تایید</t>
  </si>
  <si>
    <t>امتیاز آموزش</t>
  </si>
  <si>
    <t>جمع امتیازات سنوات، تجربه و آموزش</t>
  </si>
  <si>
    <t>امتیاز مکتسبه</t>
  </si>
  <si>
    <t>مهارت و تحصیلات</t>
  </si>
  <si>
    <t>حقوق ثابت 98</t>
  </si>
  <si>
    <t>درصد کمتر توسعه یافته</t>
  </si>
  <si>
    <t>درصد بدی آب و هوا</t>
  </si>
  <si>
    <t>حقوق ثابت رتبه</t>
  </si>
  <si>
    <t>حقوق ثابت نهایی</t>
  </si>
  <si>
    <t>نمره ارزشیابی کسب شده در سال تحصیلی 98-97</t>
  </si>
  <si>
    <t>نمره ارزشیابی کسب شده در سال تحصیلی 97-96</t>
  </si>
  <si>
    <t>جدول زیر ویژه آن دسته از معلمانی است که رتبه شغلی شان مقدماتی می باشد.</t>
  </si>
  <si>
    <t>جدول زیر ویژه آن دسته از معلمانی است که 6 ساعت تدریس هفتگی اضافی
داشته و مشمول دریافت فوق العاده ویژه می باشند.</t>
  </si>
  <si>
    <t>جدول زیر مربوط به مشمولین ماده ۵۱ قانون جامع خدمات رسانی با ایثارگران است.</t>
  </si>
  <si>
    <t>مشمول فوق العاده ماده ۵۱  قانون جامع ایثارگران هستید؟</t>
  </si>
  <si>
    <t>تفاوت بند (ی) و تفاوت جزء (1) بند (الف) نیز مشمول افزایش امتیاز باشند؟</t>
  </si>
  <si>
    <t>شمول یا عدم شمول بندهای جدول ذیل در فصل دهم قانون مدیریت خدمات کشوری</t>
  </si>
  <si>
    <t>درصد فوق العاده ویژه</t>
  </si>
  <si>
    <t>جمع ایتمهای مشمول فوق العاده ویژه</t>
  </si>
  <si>
    <t>رند بند ی</t>
  </si>
  <si>
    <t>رند جز ۱ بند الف</t>
  </si>
  <si>
    <t>نوبت کاری</t>
  </si>
  <si>
    <t>درصد نوبت کاری</t>
  </si>
  <si>
    <t>درصد افزایش امتیازات (از ۱ تا ۵۰ عددی وارد نمایید)</t>
  </si>
  <si>
    <t>درصد مورد انتظار افزایش امتیازات در دستگاه محل خدمت  شما</t>
  </si>
  <si>
    <t>ضریب حقوق سال ۹۸</t>
  </si>
  <si>
    <t>ضریب حقوق سال ۹۹</t>
  </si>
  <si>
    <t>حداقل حقوق سال ۹۸</t>
  </si>
  <si>
    <t>حداقل حقوق سال ۹۹</t>
  </si>
  <si>
    <t>ضریب تعدیل سال ۹۹</t>
  </si>
  <si>
    <t>محاسبه حقوق و مزایای کارکنان دولت در سال ۹۸</t>
  </si>
  <si>
    <t>کارشناس</t>
  </si>
  <si>
    <t>به استناد تصویب نامه شماره 8724/ت56485ه مورخ 98/01/31 هیات محترم وزیران</t>
  </si>
  <si>
    <t>توسعه یافته</t>
  </si>
  <si>
    <t>بدی آب و هوا</t>
  </si>
  <si>
    <t>ویژه</t>
  </si>
  <si>
    <t>رئیس اداره</t>
  </si>
  <si>
    <r>
      <t xml:space="preserve">لطفا با دقت کامل، با توجه به آخرین حکم کارگزینی سال 97 خود تنها در خانه های </t>
    </r>
    <r>
      <rPr>
        <b/>
        <sz val="11"/>
        <color rgb="FFFFFF00"/>
        <rFont val="B Roya"/>
        <charset val="178"/>
      </rPr>
      <t>زرد رنگ</t>
    </r>
    <r>
      <rPr>
        <b/>
        <sz val="11"/>
        <color theme="1"/>
        <rFont val="B Roya"/>
        <charset val="178"/>
      </rPr>
      <t xml:space="preserve"> جداول زیر ورود اطلاعات نمایید</t>
    </r>
  </si>
  <si>
    <t>مدیر</t>
  </si>
  <si>
    <t>ضریب حقوق سال 98 (ریال)</t>
  </si>
  <si>
    <t>مشمول ماده ۵۱ قانون جامع ایثارگران</t>
  </si>
  <si>
    <t>فوق لیسانس و دکتری حرفه ای</t>
  </si>
  <si>
    <t>75 شغل</t>
  </si>
  <si>
    <t>دکتری تخصصی PHD</t>
  </si>
  <si>
    <t>سایر فوق العاده ها</t>
  </si>
  <si>
    <t>75 شغل و مدیریت</t>
  </si>
  <si>
    <t>شاغل اولیه 98</t>
  </si>
  <si>
    <t>آموزش</t>
  </si>
  <si>
    <t>جمع شاغل سال 98</t>
  </si>
  <si>
    <t>افزایش امتیاز</t>
  </si>
  <si>
    <t>درصد</t>
  </si>
  <si>
    <t>فوق العاده نوبت کاری</t>
  </si>
  <si>
    <t>جهت محاسبه بند ۷ مصوبه، تمامی آیتم های حقوقی به عنوان حقوق و مزایای مستمر سال 97 و ۹۸ لحاظ گردند؟</t>
  </si>
  <si>
    <t>کمتر از 30 سال سابقه خدمت دارید؟</t>
  </si>
  <si>
    <t>جایگاه (پست) سازمانی</t>
  </si>
  <si>
    <t>امتیاز حق شاغل سال 98</t>
  </si>
  <si>
    <t>امتیاز حق شاغل حکم سال 99</t>
  </si>
  <si>
    <t>ضریب پلکانی سال ۹۹</t>
  </si>
  <si>
    <t>اعمال ضریب سنواتی سال ۹۹
و امتیاز حق شاغل ۹۹</t>
  </si>
  <si>
    <t>اطلاعات جدول زیر جهت محاسبه امتیاز حق شاغل سال ۹۹ می باشد.</t>
  </si>
  <si>
    <t>اطلاعات جدول زیر جهت تعیین میزان ضریب حقوق سالانه می باشد.</t>
  </si>
  <si>
    <t>فوق‌العاده مدیریت نیز در محاسبه سقف 75% حق شاغل لحاظ گردد؟</t>
  </si>
  <si>
    <t>جمع حقوق و مزایای سال ۹۸ به میلیون ریال</t>
  </si>
  <si>
    <t>فرمول ضریب تعدیل سال ۹۹</t>
  </si>
  <si>
    <t>درصد ضریب تعدیل در سال ۹۹ از صفر تا چه درصدی باشد؟</t>
  </si>
  <si>
    <t>درصد افزایش امتیازات فصل دهم قانون مدیریت خدمات کشوری در سازمان شما</t>
  </si>
  <si>
    <t>وضعیت استخدامی (قراردادی / پیمانی / رسمی)</t>
  </si>
  <si>
    <t>قراردادی</t>
  </si>
  <si>
    <t>پیمانی</t>
  </si>
  <si>
    <t>رسمی</t>
  </si>
  <si>
    <t>در جدول زیر وضعیت استخدامی خود را مشخص نمایید</t>
  </si>
  <si>
    <t xml:space="preserve">ساعات آموزش سال 9۸ </t>
  </si>
  <si>
    <t>حق شاغل 98</t>
  </si>
  <si>
    <t>اطلاعات جدول زیر جهت محاسبه امتیاز حق شاغل(ماده ۶۶ قانون مدیریت) بکار می رود.</t>
  </si>
  <si>
    <t>امتیاز سرپرستی</t>
  </si>
  <si>
    <t>محاسبه ضریب حقوق بر اساس قانون بودجه (ضریب مقامات متفاوت از سایر کارکنان است)</t>
  </si>
  <si>
    <t>جزء مقامات سیاسی (موضوع ماده ۷۱ قانون مدیریت) هستید؟</t>
  </si>
  <si>
    <t>تعداد فرزندان مشمول دریافت حق اولاد؟</t>
  </si>
  <si>
    <t>حقوق پایه ماهیانه (ریال)</t>
  </si>
  <si>
    <t>بهار</t>
  </si>
  <si>
    <t>تابستان</t>
  </si>
  <si>
    <t>سال 98</t>
  </si>
  <si>
    <t>جمع حقوق</t>
  </si>
  <si>
    <t>کمک هزینه مسکن (ریال)</t>
  </si>
  <si>
    <t>کمک هزینه عائله مندی (ریال)</t>
  </si>
  <si>
    <t>کمک هزینه اقلام مصرفی خانوار - بن کارگری (ریال)</t>
  </si>
  <si>
    <t>حقوق</t>
  </si>
  <si>
    <t>پایه سنوات</t>
  </si>
  <si>
    <t>قبل از ۱/۴/۱۳۹۹</t>
  </si>
  <si>
    <t>بعد از ۱/۴/۱۳۹۹</t>
  </si>
  <si>
    <t> گروه </t>
  </si>
  <si>
    <t> پایه/ سنوات </t>
  </si>
  <si>
    <t> مزد شغل </t>
  </si>
  <si>
    <t>۳۱ روز</t>
  </si>
  <si>
    <t>مسکن</t>
  </si>
  <si>
    <t>کارگاه</t>
  </si>
  <si>
    <t>اولاد</t>
  </si>
  <si>
    <t>_</t>
  </si>
  <si>
    <t>نرخ یک ساعت اضافه کار (ریال)</t>
  </si>
  <si>
    <t>مبنای محاسبه حقوق ماهیانه</t>
  </si>
  <si>
    <t>گروه (ویژه مشمولین طرح طبقه بندی مشاغل)</t>
  </si>
  <si>
    <t>مزد روزانه</t>
  </si>
  <si>
    <t>حقوق پایه روزانه ـ مزد روزانه (ریال)</t>
  </si>
  <si>
    <r>
      <t xml:space="preserve">برای دنبال کردن </t>
    </r>
    <r>
      <rPr>
        <b/>
        <sz val="14"/>
        <color rgb="FF7030A0"/>
        <rFont val="B Nazanin"/>
        <charset val="178"/>
      </rPr>
      <t>صیاح الدین شهدی</t>
    </r>
    <r>
      <rPr>
        <b/>
        <sz val="14"/>
        <color theme="9" tint="-0.499984740745262"/>
        <rFont val="B Nazanin"/>
        <charset val="178"/>
      </rPr>
      <t xml:space="preserve"> در </t>
    </r>
    <r>
      <rPr>
        <b/>
        <sz val="14"/>
        <color rgb="FF7030A0"/>
        <rFont val="B Nazanin"/>
        <charset val="178"/>
      </rPr>
      <t>اینستاگرام instagram</t>
    </r>
    <r>
      <rPr>
        <b/>
        <sz val="14"/>
        <color theme="9" tint="-0.499984740745262"/>
        <rFont val="B Nazanin"/>
        <charset val="178"/>
      </rPr>
      <t xml:space="preserve"> کلیک کنید.</t>
    </r>
  </si>
  <si>
    <r>
      <t xml:space="preserve">لطفاْ جهت فعال سازی فایل، ابتدا در نوار زرد رنگ بالا، روی گزینه </t>
    </r>
    <r>
      <rPr>
        <b/>
        <sz val="13"/>
        <rFont val="B Roya"/>
        <charset val="178"/>
      </rPr>
      <t>Enable Editing</t>
    </r>
    <r>
      <rPr>
        <b/>
        <sz val="13"/>
        <color theme="4" tint="-0.499984740745262"/>
        <rFont val="B Roya"/>
        <charset val="178"/>
      </rPr>
      <t xml:space="preserve">  کلیک کنید سپس با دقت به سوالات زیر پاسخ دهید.</t>
    </r>
  </si>
  <si>
    <t>روزانه</t>
  </si>
  <si>
    <t>عنوان</t>
  </si>
  <si>
    <t>پایه سنوات روزانه (ریال)</t>
  </si>
  <si>
    <t>پایه سنوات ماهیانه (ریال)</t>
  </si>
  <si>
    <r>
      <rPr>
        <b/>
        <sz val="12"/>
        <color theme="2" tint="-0.89999084444715716"/>
        <rFont val="B Nazanin"/>
        <charset val="178"/>
      </rPr>
      <t>تهیه و تنظیم</t>
    </r>
    <r>
      <rPr>
        <b/>
        <sz val="14"/>
        <color theme="2" tint="-0.89999084444715716"/>
        <rFont val="B Nazanin"/>
        <charset val="178"/>
      </rPr>
      <t xml:space="preserve"> : صیــاح الدیــن شهــدی</t>
    </r>
  </si>
  <si>
    <t>سال 1403</t>
  </si>
  <si>
    <t>پایه 1403</t>
  </si>
  <si>
    <t>مزد 1403</t>
  </si>
  <si>
    <t>مجرد</t>
  </si>
  <si>
    <t>متاهل</t>
  </si>
  <si>
    <t>کمک هزینه تاهل (ریال)</t>
  </si>
  <si>
    <r>
      <t xml:space="preserve">دنبال کردن </t>
    </r>
    <r>
      <rPr>
        <b/>
        <sz val="16"/>
        <color theme="8" tint="-0.499984740745262"/>
        <rFont val="B Nazanin"/>
        <charset val="178"/>
      </rPr>
      <t>مجله کارگزینی</t>
    </r>
    <r>
      <rPr>
        <b/>
        <sz val="14"/>
        <color theme="9" tint="-0.499984740745262"/>
        <rFont val="B Nazanin"/>
        <charset val="178"/>
      </rPr>
      <t xml:space="preserve"> در اینستاگرام</t>
    </r>
  </si>
  <si>
    <t>کانال تلگرام مجله کارگزینی (کلیک کنید)</t>
  </si>
  <si>
    <t>وضعیت تأهل خود را مشخص نمایید (مجرد - متاهل)</t>
  </si>
  <si>
    <t>سال 1404</t>
  </si>
  <si>
    <t>پایه سنوات روزانه شما در سال 1403 (ریال)</t>
  </si>
  <si>
    <t>حقوق پایه روزانه شما در سال 1403 (ریال)</t>
  </si>
  <si>
    <t>مجموع افزایش ماهیانه به نسبت سال 1403 (ریال)</t>
  </si>
  <si>
    <t>مجموع افزایش به نسبت سال 1403 (درصد)</t>
  </si>
  <si>
    <t>محاسبه افزایش حقوق و دستمزد مشمولین قانون کار در سال 1404</t>
  </si>
  <si>
    <t>کارشناس و مدرس امور اداری و استخدامی</t>
  </si>
  <si>
    <t>برای دنبال کردن صیاح الدین شهدی در اینستاگرام instagram کلیک کنید.</t>
  </si>
  <si>
    <t>دنبال کردن مجله کارگزینی در اینستاگرام</t>
  </si>
  <si>
    <t>تهیه و تنظیم : صیــاح الــدین شهــدی          کارشناس  و مدرس امور اداری و استخدامی</t>
  </si>
  <si>
    <t>تهیه و تنظیم : صیــاح الدیــن شهــدی</t>
  </si>
  <si>
    <t>پایه 1404</t>
  </si>
  <si>
    <t>حقوق و مزایای ماهیانه     (kargozin.com)</t>
  </si>
  <si>
    <r>
      <t xml:space="preserve">حقوق و مزایای ماهیانه    </t>
    </r>
    <r>
      <rPr>
        <sz val="14"/>
        <color theme="1"/>
        <rFont val="B Nazanin"/>
        <charset val="178"/>
      </rPr>
      <t xml:space="preserve"> (kargozin.com)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</si>
</sst>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3000401]0"/>
    <numFmt numFmtId="165" formatCode="0.0"/>
  </numFmts>
  <fonts count="57" x14ac:knownFonts="1">
    <font>
      <sz val="11"/>
      <color theme="1"/>
      <name val="Calibri"/>
      <family val="2"/>
      <scheme val="minor"/>
    </font>
    <font>
      <b/>
      <sz val="11"/>
      <color theme="1"/>
      <name val="B Nazanin"/>
      <charset val="178"/>
    </font>
    <font>
      <sz val="11"/>
      <color theme="1"/>
      <name val="B Nazanin"/>
      <charset val="178"/>
    </font>
    <font>
      <sz val="12"/>
      <color theme="1"/>
      <name val="B Nazanin"/>
      <charset val="178"/>
    </font>
    <font>
      <sz val="10"/>
      <color theme="1"/>
      <name val="B Nazanin"/>
      <charset val="178"/>
    </font>
    <font>
      <sz val="14"/>
      <color theme="1"/>
      <name val="B Nazanin"/>
      <charset val="178"/>
    </font>
    <font>
      <u/>
      <sz val="11"/>
      <color theme="10"/>
      <name val="Calibri"/>
      <family val="2"/>
      <scheme val="minor"/>
    </font>
    <font>
      <b/>
      <sz val="11"/>
      <color theme="1"/>
      <name val="B Roya"/>
      <charset val="178"/>
    </font>
    <font>
      <b/>
      <sz val="11"/>
      <name val="B Roya"/>
      <charset val="178"/>
    </font>
    <font>
      <b/>
      <sz val="14"/>
      <color theme="1"/>
      <name val="B Nazanin"/>
      <charset val="178"/>
    </font>
    <font>
      <b/>
      <sz val="12"/>
      <color theme="1"/>
      <name val="B Nazanin"/>
      <charset val="178"/>
    </font>
    <font>
      <sz val="14"/>
      <color theme="0"/>
      <name val="B Nazanin"/>
      <charset val="178"/>
    </font>
    <font>
      <sz val="14"/>
      <name val="B Nazanin"/>
      <charset val="178"/>
    </font>
    <font>
      <sz val="14"/>
      <color rgb="FFFFFF00"/>
      <name val="B Nazanin"/>
      <charset val="178"/>
    </font>
    <font>
      <b/>
      <sz val="14"/>
      <name val="B Nazanin"/>
      <charset val="178"/>
    </font>
    <font>
      <b/>
      <sz val="11"/>
      <color theme="8" tint="-0.499984740745262"/>
      <name val="B Nazanin"/>
      <charset val="178"/>
    </font>
    <font>
      <b/>
      <sz val="16"/>
      <color theme="9" tint="-0.499984740745262"/>
      <name val="B Nazanin"/>
      <charset val="178"/>
    </font>
    <font>
      <b/>
      <sz val="12"/>
      <color theme="0"/>
      <name val="B Nazanin"/>
      <charset val="178"/>
    </font>
    <font>
      <b/>
      <sz val="14"/>
      <color theme="9" tint="-0.499984740745262"/>
      <name val="B Nazanin"/>
      <charset val="178"/>
    </font>
    <font>
      <sz val="11"/>
      <name val="Calibri"/>
      <family val="2"/>
      <scheme val="minor"/>
    </font>
    <font>
      <b/>
      <sz val="14"/>
      <color theme="8" tint="-0.499984740745262"/>
      <name val="B Nazanin"/>
      <charset val="178"/>
    </font>
    <font>
      <b/>
      <sz val="11"/>
      <color rgb="FF7030A0"/>
      <name val="B Nazanin"/>
      <charset val="178"/>
    </font>
    <font>
      <b/>
      <sz val="12"/>
      <name val="B Nazanin"/>
      <charset val="178"/>
    </font>
    <font>
      <b/>
      <sz val="16"/>
      <color theme="1"/>
      <name val="B Roya"/>
      <charset val="178"/>
    </font>
    <font>
      <sz val="11"/>
      <name val="B Nazanin"/>
      <charset val="178"/>
    </font>
    <font>
      <b/>
      <sz val="12"/>
      <color theme="1"/>
      <name val="B Roya"/>
      <charset val="178"/>
    </font>
    <font>
      <b/>
      <sz val="11"/>
      <color rgb="FFFFFF00"/>
      <name val="B Roya"/>
      <charset val="178"/>
    </font>
    <font>
      <b/>
      <u/>
      <sz val="12"/>
      <color theme="10"/>
      <name val="B Nazanin"/>
      <charset val="178"/>
    </font>
    <font>
      <b/>
      <sz val="11"/>
      <color theme="8" tint="-0.249977111117893"/>
      <name val="B Nazanin"/>
      <charset val="178"/>
    </font>
    <font>
      <b/>
      <sz val="10"/>
      <color theme="8" tint="-0.249977111117893"/>
      <name val="B Nazanin"/>
      <charset val="178"/>
    </font>
    <font>
      <b/>
      <sz val="10"/>
      <color indexed="81"/>
      <name val="B Nazanin"/>
      <charset val="178"/>
    </font>
    <font>
      <b/>
      <sz val="11"/>
      <color theme="1"/>
      <name val="Calibri"/>
      <family val="2"/>
      <scheme val="minor"/>
    </font>
    <font>
      <b/>
      <sz val="9"/>
      <color indexed="81"/>
      <name val="B Nazanin"/>
      <charset val="178"/>
    </font>
    <font>
      <b/>
      <sz val="14"/>
      <color rgb="FF7030A0"/>
      <name val="B Nazanin"/>
      <charset val="178"/>
    </font>
    <font>
      <sz val="11"/>
      <color theme="0"/>
      <name val="Calibri"/>
      <family val="2"/>
      <scheme val="minor"/>
    </font>
    <font>
      <b/>
      <sz val="14"/>
      <color theme="4" tint="-0.499984740745262"/>
      <name val="Calibri"/>
      <family val="2"/>
      <scheme val="minor"/>
    </font>
    <font>
      <b/>
      <sz val="12"/>
      <color theme="1"/>
      <name val="Calibri"/>
      <family val="2"/>
      <scheme val="minor"/>
    </font>
    <font>
      <b/>
      <sz val="16"/>
      <color theme="1"/>
      <name val="B Nazanin"/>
      <charset val="178"/>
    </font>
    <font>
      <sz val="11"/>
      <color theme="0"/>
      <name val="B Nazanin"/>
      <charset val="178"/>
    </font>
    <font>
      <b/>
      <sz val="12"/>
      <color theme="8" tint="-0.499984740745262"/>
      <name val="B Nazanin"/>
      <charset val="178"/>
    </font>
    <font>
      <b/>
      <sz val="12"/>
      <color theme="7" tint="-0.499984740745262"/>
      <name val="B Roya"/>
      <charset val="178"/>
    </font>
    <font>
      <b/>
      <sz val="14"/>
      <color theme="2" tint="-0.89999084444715716"/>
      <name val="B Nazanin"/>
      <charset val="178"/>
    </font>
    <font>
      <b/>
      <sz val="12"/>
      <color theme="2" tint="-0.89999084444715716"/>
      <name val="B Nazanin"/>
      <charset val="178"/>
    </font>
    <font>
      <sz val="11"/>
      <color theme="1"/>
      <name val="B Koodak"/>
      <charset val="178"/>
    </font>
    <font>
      <sz val="16"/>
      <color theme="1"/>
      <name val="B Yekan"/>
      <charset val="178"/>
    </font>
    <font>
      <sz val="14"/>
      <color theme="1"/>
      <name val="B Yekan"/>
      <charset val="178"/>
    </font>
    <font>
      <sz val="14"/>
      <color theme="1"/>
      <name val="B Roya"/>
      <charset val="178"/>
    </font>
    <font>
      <b/>
      <sz val="10"/>
      <color rgb="FF333333"/>
      <name val="B Koodak"/>
      <charset val="178"/>
    </font>
    <font>
      <sz val="8"/>
      <color rgb="FF000000"/>
      <name val="Segoe UI"/>
      <family val="2"/>
    </font>
    <font>
      <sz val="11"/>
      <color rgb="FF454545"/>
      <name val="Tahoma"/>
      <family val="2"/>
    </font>
    <font>
      <sz val="11"/>
      <color rgb="FFFF0000"/>
      <name val="Tahoma"/>
      <family val="2"/>
    </font>
    <font>
      <b/>
      <sz val="13"/>
      <color theme="4" tint="-0.499984740745262"/>
      <name val="B Roya"/>
      <charset val="178"/>
    </font>
    <font>
      <b/>
      <sz val="16"/>
      <color theme="8" tint="-0.249977111117893"/>
      <name val="B Nazanin"/>
      <charset val="178"/>
    </font>
    <font>
      <b/>
      <sz val="9"/>
      <color indexed="81"/>
      <name val="Tahoma"/>
      <family val="2"/>
    </font>
    <font>
      <b/>
      <sz val="13"/>
      <name val="B Roya"/>
      <charset val="178"/>
    </font>
    <font>
      <b/>
      <sz val="12"/>
      <color rgb="FF002060"/>
      <name val="B Nazanin"/>
      <charset val="178"/>
    </font>
    <font>
      <b/>
      <sz val="16"/>
      <color theme="8" tint="-0.499984740745262"/>
      <name val="B Nazanin"/>
      <charset val="178"/>
    </font>
  </fonts>
  <fills count="2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7030A0"/>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8" tint="-0.499984740745262"/>
        <bgColor indexed="64"/>
      </patternFill>
    </fill>
    <fill>
      <patternFill patternType="solid">
        <fgColor theme="5" tint="0.59999389629810485"/>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8" tint="0.79998168889431442"/>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hair">
        <color auto="1"/>
      </left>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xf numFmtId="0" fontId="6" fillId="0" borderId="0" applyNumberFormat="0" applyFill="0" applyBorder="0" applyAlignment="0" applyProtection="0"/>
  </cellStyleXfs>
  <cellXfs count="323">
    <xf numFmtId="0" fontId="0" fillId="0" borderId="0" xfId="0"/>
    <xf numFmtId="0" fontId="5" fillId="0" borderId="11" xfId="0" applyFont="1" applyBorder="1" applyAlignment="1" applyProtection="1">
      <alignment horizontal="center"/>
      <protection hidden="1"/>
    </xf>
    <xf numFmtId="0" fontId="5" fillId="10" borderId="12" xfId="0" applyFont="1" applyFill="1" applyBorder="1" applyAlignment="1" applyProtection="1">
      <alignment horizontal="center"/>
      <protection hidden="1"/>
    </xf>
    <xf numFmtId="0" fontId="5" fillId="0" borderId="7" xfId="0" applyFont="1" applyBorder="1" applyAlignment="1" applyProtection="1">
      <alignment horizontal="center"/>
      <protection hidden="1"/>
    </xf>
    <xf numFmtId="0" fontId="5" fillId="10" borderId="6" xfId="0" applyFont="1" applyFill="1" applyBorder="1" applyAlignment="1" applyProtection="1">
      <alignment horizontal="center"/>
      <protection hidden="1"/>
    </xf>
    <xf numFmtId="0" fontId="5" fillId="0" borderId="21" xfId="0" applyFont="1" applyBorder="1" applyAlignment="1" applyProtection="1">
      <alignment horizontal="center"/>
      <protection hidden="1"/>
    </xf>
    <xf numFmtId="0" fontId="5" fillId="10" borderId="34" xfId="0" applyFont="1" applyFill="1" applyBorder="1" applyAlignment="1" applyProtection="1">
      <alignment horizontal="center"/>
      <protection hidden="1"/>
    </xf>
    <xf numFmtId="164" fontId="5" fillId="0" borderId="7" xfId="0" applyNumberFormat="1" applyFont="1" applyBorder="1" applyAlignment="1" applyProtection="1">
      <alignment horizontal="center"/>
      <protection hidden="1"/>
    </xf>
    <xf numFmtId="164" fontId="5" fillId="0" borderId="21" xfId="0" applyNumberFormat="1" applyFont="1" applyBorder="1" applyAlignment="1" applyProtection="1">
      <alignment horizontal="center"/>
      <protection hidden="1"/>
    </xf>
    <xf numFmtId="164" fontId="5" fillId="0" borderId="8" xfId="0" applyNumberFormat="1"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3" xfId="0" applyFont="1" applyBorder="1" applyAlignment="1" applyProtection="1">
      <alignment horizontal="center"/>
      <protection hidden="1"/>
    </xf>
    <xf numFmtId="164" fontId="5" fillId="0" borderId="9" xfId="0" applyNumberFormat="1" applyFont="1" applyBorder="1" applyAlignment="1" applyProtection="1">
      <alignment horizontal="center"/>
      <protection hidden="1"/>
    </xf>
    <xf numFmtId="0" fontId="5" fillId="0" borderId="4" xfId="0" applyFont="1" applyBorder="1" applyAlignment="1" applyProtection="1">
      <alignment horizontal="center"/>
      <protection hidden="1"/>
    </xf>
    <xf numFmtId="9" fontId="5" fillId="0" borderId="7" xfId="0" applyNumberFormat="1" applyFont="1" applyBorder="1" applyAlignment="1" applyProtection="1">
      <alignment horizontal="center"/>
      <protection hidden="1"/>
    </xf>
    <xf numFmtId="1" fontId="5" fillId="0" borderId="6" xfId="0" applyNumberFormat="1" applyFont="1" applyBorder="1" applyAlignment="1" applyProtection="1">
      <alignment horizontal="center"/>
      <protection hidden="1"/>
    </xf>
    <xf numFmtId="9" fontId="5" fillId="0" borderId="21" xfId="0" applyNumberFormat="1" applyFont="1" applyBorder="1" applyAlignment="1" applyProtection="1">
      <alignment horizontal="center"/>
      <protection hidden="1"/>
    </xf>
    <xf numFmtId="1" fontId="5" fillId="0" borderId="34" xfId="0" applyNumberFormat="1" applyFont="1" applyBorder="1" applyAlignment="1" applyProtection="1">
      <alignment horizontal="center"/>
      <protection hidden="1"/>
    </xf>
    <xf numFmtId="1" fontId="5" fillId="3" borderId="15" xfId="0" applyNumberFormat="1" applyFont="1" applyFill="1" applyBorder="1" applyAlignment="1" applyProtection="1">
      <alignment horizontal="center"/>
      <protection hidden="1"/>
    </xf>
    <xf numFmtId="0" fontId="5" fillId="10" borderId="33" xfId="0" applyFont="1" applyFill="1" applyBorder="1" applyAlignment="1" applyProtection="1">
      <alignment horizontal="center"/>
      <protection hidden="1"/>
    </xf>
    <xf numFmtId="2" fontId="11" fillId="12" borderId="2" xfId="0" applyNumberFormat="1" applyFont="1" applyFill="1" applyBorder="1" applyAlignment="1" applyProtection="1">
      <alignment horizontal="center"/>
      <protection hidden="1"/>
    </xf>
    <xf numFmtId="0" fontId="12" fillId="0" borderId="6" xfId="0" applyFont="1" applyBorder="1" applyAlignment="1" applyProtection="1">
      <alignment horizontal="center"/>
      <protection hidden="1"/>
    </xf>
    <xf numFmtId="2" fontId="11" fillId="12" borderId="4" xfId="0" applyNumberFormat="1" applyFont="1" applyFill="1" applyBorder="1" applyAlignment="1" applyProtection="1">
      <alignment horizontal="center"/>
      <protection hidden="1"/>
    </xf>
    <xf numFmtId="0" fontId="12" fillId="0" borderId="37"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13" borderId="15" xfId="0" applyFont="1" applyFill="1" applyBorder="1" applyAlignment="1" applyProtection="1">
      <alignment horizontal="center"/>
      <protection hidden="1"/>
    </xf>
    <xf numFmtId="164" fontId="5" fillId="0" borderId="5" xfId="0" applyNumberFormat="1" applyFont="1" applyBorder="1" applyAlignment="1" applyProtection="1">
      <alignment horizontal="center"/>
      <protection hidden="1"/>
    </xf>
    <xf numFmtId="0" fontId="5" fillId="15" borderId="1" xfId="0" applyFont="1" applyFill="1" applyBorder="1" applyAlignment="1" applyProtection="1">
      <alignment horizontal="center"/>
      <protection hidden="1"/>
    </xf>
    <xf numFmtId="0" fontId="5" fillId="15" borderId="8" xfId="0" applyFont="1" applyFill="1" applyBorder="1" applyAlignment="1" applyProtection="1">
      <alignment horizontal="center"/>
      <protection hidden="1"/>
    </xf>
    <xf numFmtId="0" fontId="5" fillId="15" borderId="2" xfId="0" applyFont="1" applyFill="1" applyBorder="1" applyAlignment="1" applyProtection="1">
      <alignment horizontal="center"/>
      <protection hidden="1"/>
    </xf>
    <xf numFmtId="0" fontId="13" fillId="16" borderId="15" xfId="0" applyFont="1" applyFill="1" applyBorder="1" applyAlignment="1" applyProtection="1">
      <alignment horizontal="center"/>
      <protection hidden="1"/>
    </xf>
    <xf numFmtId="164" fontId="5" fillId="0" borderId="1" xfId="0" applyNumberFormat="1" applyFont="1" applyBorder="1" applyAlignment="1" applyProtection="1">
      <alignment horizontal="center"/>
      <protection hidden="1"/>
    </xf>
    <xf numFmtId="164" fontId="5" fillId="0" borderId="2" xfId="0" applyNumberFormat="1" applyFont="1" applyBorder="1" applyAlignment="1" applyProtection="1">
      <alignment horizontal="center"/>
      <protection hidden="1"/>
    </xf>
    <xf numFmtId="164" fontId="5" fillId="0" borderId="6" xfId="0" applyNumberFormat="1" applyFont="1" applyBorder="1" applyAlignment="1" applyProtection="1">
      <alignment horizontal="center"/>
      <protection hidden="1"/>
    </xf>
    <xf numFmtId="164" fontId="5" fillId="0" borderId="36" xfId="0" applyNumberFormat="1" applyFont="1" applyBorder="1" applyAlignment="1" applyProtection="1">
      <alignment horizontal="center"/>
      <protection hidden="1"/>
    </xf>
    <xf numFmtId="164" fontId="5" fillId="0" borderId="34" xfId="0" applyNumberFormat="1" applyFont="1" applyBorder="1" applyAlignment="1" applyProtection="1">
      <alignment horizontal="center"/>
      <protection hidden="1"/>
    </xf>
    <xf numFmtId="164" fontId="14" fillId="3" borderId="13" xfId="0" applyNumberFormat="1" applyFont="1" applyFill="1" applyBorder="1" applyAlignment="1" applyProtection="1">
      <alignment horizontal="center"/>
      <protection hidden="1"/>
    </xf>
    <xf numFmtId="164" fontId="14" fillId="3" borderId="15" xfId="0" applyNumberFormat="1" applyFont="1" applyFill="1" applyBorder="1" applyAlignment="1" applyProtection="1">
      <alignment horizontal="center"/>
      <protection hidden="1"/>
    </xf>
    <xf numFmtId="164" fontId="14" fillId="3" borderId="13" xfId="0" applyNumberFormat="1" applyFont="1" applyFill="1" applyBorder="1" applyAlignment="1" applyProtection="1">
      <alignment horizontal="center" shrinkToFit="1"/>
      <protection hidden="1"/>
    </xf>
    <xf numFmtId="0" fontId="10" fillId="8" borderId="1" xfId="0" applyFont="1" applyFill="1" applyBorder="1" applyAlignment="1" applyProtection="1">
      <alignment horizontal="center" vertical="center" shrinkToFit="1" readingOrder="2"/>
      <protection hidden="1"/>
    </xf>
    <xf numFmtId="0" fontId="10" fillId="8" borderId="5" xfId="0" applyFont="1" applyFill="1" applyBorder="1" applyAlignment="1" applyProtection="1">
      <alignment horizontal="center" vertical="center" shrinkToFit="1" readingOrder="2"/>
      <protection hidden="1"/>
    </xf>
    <xf numFmtId="0" fontId="10" fillId="8" borderId="3" xfId="0" applyFont="1" applyFill="1" applyBorder="1" applyAlignment="1" applyProtection="1">
      <alignment horizontal="center" vertical="center" shrinkToFit="1" readingOrder="2"/>
      <protection hidden="1"/>
    </xf>
    <xf numFmtId="164" fontId="5" fillId="10" borderId="5" xfId="0" applyNumberFormat="1" applyFont="1" applyFill="1" applyBorder="1" applyAlignment="1" applyProtection="1">
      <alignment horizontal="center"/>
      <protection hidden="1"/>
    </xf>
    <xf numFmtId="164" fontId="5" fillId="10" borderId="7" xfId="0" applyNumberFormat="1" applyFont="1" applyFill="1" applyBorder="1" applyAlignment="1" applyProtection="1">
      <alignment horizontal="center"/>
      <protection hidden="1"/>
    </xf>
    <xf numFmtId="164" fontId="5" fillId="10" borderId="3" xfId="0" applyNumberFormat="1" applyFont="1" applyFill="1" applyBorder="1" applyAlignment="1" applyProtection="1">
      <alignment horizontal="center"/>
      <protection hidden="1"/>
    </xf>
    <xf numFmtId="164" fontId="5" fillId="10" borderId="9" xfId="0" applyNumberFormat="1" applyFont="1" applyFill="1" applyBorder="1" applyAlignment="1" applyProtection="1">
      <alignment horizontal="center"/>
      <protection hidden="1"/>
    </xf>
    <xf numFmtId="0" fontId="5" fillId="10" borderId="4" xfId="0" applyFont="1" applyFill="1" applyBorder="1" applyAlignment="1" applyProtection="1">
      <alignment horizontal="center"/>
      <protection hidden="1"/>
    </xf>
    <xf numFmtId="0" fontId="0" fillId="2" borderId="0" xfId="0" applyFill="1" applyProtection="1">
      <protection hidden="1"/>
    </xf>
    <xf numFmtId="0" fontId="0" fillId="0" borderId="0" xfId="0" applyProtection="1">
      <protection hidden="1"/>
    </xf>
    <xf numFmtId="1" fontId="10" fillId="2" borderId="7" xfId="0" applyNumberFormat="1" applyFont="1" applyFill="1" applyBorder="1" applyAlignment="1" applyProtection="1">
      <alignment horizontal="center" vertical="center" shrinkToFit="1" readingOrder="2"/>
      <protection hidden="1"/>
    </xf>
    <xf numFmtId="3" fontId="10" fillId="2" borderId="6" xfId="0" applyNumberFormat="1" applyFont="1" applyFill="1" applyBorder="1" applyAlignment="1" applyProtection="1">
      <alignment horizontal="center" vertical="center" shrinkToFit="1" readingOrder="2"/>
      <protection hidden="1"/>
    </xf>
    <xf numFmtId="1" fontId="10" fillId="2" borderId="11" xfId="0" applyNumberFormat="1" applyFont="1" applyFill="1" applyBorder="1" applyAlignment="1" applyProtection="1">
      <alignment horizontal="center" vertical="center" shrinkToFit="1" readingOrder="2"/>
      <protection hidden="1"/>
    </xf>
    <xf numFmtId="3" fontId="10" fillId="2" borderId="12" xfId="0" applyNumberFormat="1" applyFont="1" applyFill="1" applyBorder="1" applyAlignment="1" applyProtection="1">
      <alignment horizontal="center" vertical="center" shrinkToFit="1" readingOrder="2"/>
      <protection hidden="1"/>
    </xf>
    <xf numFmtId="3" fontId="10" fillId="0" borderId="6" xfId="0" applyNumberFormat="1" applyFont="1" applyBorder="1" applyAlignment="1" applyProtection="1">
      <alignment horizontal="center" vertical="center" shrinkToFit="1" readingOrder="2"/>
      <protection hidden="1"/>
    </xf>
    <xf numFmtId="1" fontId="10" fillId="0" borderId="7" xfId="0" applyNumberFormat="1" applyFont="1" applyBorder="1" applyAlignment="1" applyProtection="1">
      <alignment horizontal="center" vertical="center" shrinkToFit="1" readingOrder="2"/>
      <protection hidden="1"/>
    </xf>
    <xf numFmtId="3" fontId="10" fillId="0" borderId="34" xfId="0" applyNumberFormat="1" applyFont="1" applyBorder="1" applyAlignment="1" applyProtection="1">
      <alignment horizontal="center" vertical="center" shrinkToFit="1" readingOrder="2"/>
      <protection hidden="1"/>
    </xf>
    <xf numFmtId="1" fontId="10" fillId="0" borderId="21" xfId="0" applyNumberFormat="1" applyFont="1" applyBorder="1" applyAlignment="1" applyProtection="1">
      <alignment horizontal="center" vertical="center" shrinkToFit="1" readingOrder="2"/>
      <protection hidden="1"/>
    </xf>
    <xf numFmtId="3" fontId="8" fillId="4" borderId="6" xfId="0" applyNumberFormat="1" applyFont="1" applyFill="1" applyBorder="1" applyAlignment="1" applyProtection="1">
      <alignment horizontal="center" vertical="center" shrinkToFit="1" readingOrder="2"/>
      <protection hidden="1"/>
    </xf>
    <xf numFmtId="0" fontId="0" fillId="14" borderId="0" xfId="0" applyFill="1" applyProtection="1">
      <protection hidden="1"/>
    </xf>
    <xf numFmtId="0" fontId="0" fillId="14" borderId="0" xfId="0" applyFill="1" applyAlignment="1" applyProtection="1">
      <alignment shrinkToFit="1"/>
      <protection hidden="1"/>
    </xf>
    <xf numFmtId="0" fontId="2" fillId="14" borderId="0" xfId="0" applyFont="1" applyFill="1" applyProtection="1">
      <protection hidden="1"/>
    </xf>
    <xf numFmtId="0" fontId="2" fillId="0" borderId="0" xfId="0" applyFont="1" applyProtection="1">
      <protection hidden="1"/>
    </xf>
    <xf numFmtId="3" fontId="7" fillId="2" borderId="0" xfId="0" applyNumberFormat="1" applyFont="1" applyFill="1" applyAlignment="1" applyProtection="1">
      <alignment horizontal="center" vertical="center" shrinkToFit="1" readingOrder="2"/>
      <protection hidden="1"/>
    </xf>
    <xf numFmtId="0" fontId="19" fillId="2" borderId="0" xfId="0" applyFont="1" applyFill="1" applyProtection="1">
      <protection hidden="1"/>
    </xf>
    <xf numFmtId="0" fontId="9" fillId="5" borderId="13" xfId="0" applyFont="1" applyFill="1" applyBorder="1" applyAlignment="1" applyProtection="1">
      <alignment horizontal="center" vertical="center" shrinkToFit="1" readingOrder="2"/>
      <protection hidden="1"/>
    </xf>
    <xf numFmtId="0" fontId="22" fillId="21" borderId="18" xfId="0" applyFont="1" applyFill="1" applyBorder="1" applyAlignment="1" applyProtection="1">
      <alignment horizontal="center" vertical="center" shrinkToFit="1" readingOrder="2"/>
      <protection hidden="1"/>
    </xf>
    <xf numFmtId="0" fontId="22" fillId="21" borderId="38" xfId="0" applyFont="1" applyFill="1" applyBorder="1" applyAlignment="1" applyProtection="1">
      <alignment horizontal="center" vertical="center" shrinkToFit="1" readingOrder="2"/>
      <protection hidden="1"/>
    </xf>
    <xf numFmtId="3" fontId="10" fillId="20" borderId="6" xfId="0" applyNumberFormat="1" applyFont="1" applyFill="1" applyBorder="1" applyAlignment="1" applyProtection="1">
      <alignment horizontal="center" vertical="center" shrinkToFit="1" readingOrder="2"/>
      <protection hidden="1"/>
    </xf>
    <xf numFmtId="1" fontId="10" fillId="20" borderId="7" xfId="0" applyNumberFormat="1" applyFont="1" applyFill="1" applyBorder="1" applyAlignment="1" applyProtection="1">
      <alignment horizontal="center" vertical="center" shrinkToFit="1" readingOrder="2"/>
      <protection hidden="1"/>
    </xf>
    <xf numFmtId="3" fontId="10" fillId="20" borderId="15" xfId="0" applyNumberFormat="1" applyFont="1" applyFill="1" applyBorder="1" applyAlignment="1" applyProtection="1">
      <alignment horizontal="center" vertical="center" shrinkToFit="1" readingOrder="2"/>
      <protection hidden="1"/>
    </xf>
    <xf numFmtId="1" fontId="10" fillId="20" borderId="14" xfId="0" applyNumberFormat="1" applyFont="1" applyFill="1" applyBorder="1" applyAlignment="1" applyProtection="1">
      <alignment horizontal="center" vertical="center" shrinkToFit="1" readingOrder="2"/>
      <protection hidden="1"/>
    </xf>
    <xf numFmtId="164" fontId="9" fillId="5" borderId="15" xfId="0" applyNumberFormat="1" applyFont="1" applyFill="1" applyBorder="1" applyAlignment="1" applyProtection="1">
      <alignment horizontal="center" vertical="center" shrinkToFit="1" readingOrder="2"/>
      <protection hidden="1"/>
    </xf>
    <xf numFmtId="0" fontId="9" fillId="5" borderId="7" xfId="0" applyFont="1" applyFill="1" applyBorder="1" applyAlignment="1" applyProtection="1">
      <alignment horizontal="center" vertical="center" shrinkToFit="1" readingOrder="2"/>
      <protection hidden="1"/>
    </xf>
    <xf numFmtId="0" fontId="2" fillId="2" borderId="0" xfId="0" applyFont="1" applyFill="1" applyAlignment="1" applyProtection="1">
      <alignment horizontal="center" vertical="center" readingOrder="2"/>
      <protection hidden="1"/>
    </xf>
    <xf numFmtId="0" fontId="24" fillId="0" borderId="0" xfId="0" applyFont="1" applyAlignment="1" applyProtection="1">
      <alignment horizontal="center" vertical="center" readingOrder="2"/>
      <protection hidden="1"/>
    </xf>
    <xf numFmtId="0" fontId="2" fillId="0" borderId="0" xfId="0" applyFont="1" applyAlignment="1" applyProtection="1">
      <alignment horizontal="center" vertical="center" readingOrder="2"/>
      <protection hidden="1"/>
    </xf>
    <xf numFmtId="0" fontId="2" fillId="0" borderId="0" xfId="0" applyFont="1" applyAlignment="1" applyProtection="1">
      <alignment horizontal="center" vertical="center" shrinkToFit="1" readingOrder="2"/>
      <protection hidden="1"/>
    </xf>
    <xf numFmtId="164" fontId="2" fillId="0" borderId="0" xfId="0" applyNumberFormat="1" applyFont="1" applyAlignment="1" applyProtection="1">
      <alignment horizontal="center" vertical="center" readingOrder="2"/>
      <protection hidden="1"/>
    </xf>
    <xf numFmtId="0" fontId="1" fillId="7" borderId="15" xfId="0" applyFont="1" applyFill="1" applyBorder="1" applyAlignment="1" applyProtection="1">
      <alignment horizontal="center" vertical="center" shrinkToFit="1" readingOrder="2"/>
      <protection hidden="1"/>
    </xf>
    <xf numFmtId="1" fontId="7" fillId="8" borderId="2" xfId="0" applyNumberFormat="1" applyFont="1" applyFill="1" applyBorder="1" applyAlignment="1" applyProtection="1">
      <alignment horizontal="center" vertical="center" readingOrder="2"/>
      <protection hidden="1"/>
    </xf>
    <xf numFmtId="0" fontId="1" fillId="2" borderId="0" xfId="0" applyFont="1" applyFill="1" applyAlignment="1" applyProtection="1">
      <alignment horizontal="center" vertical="center" shrinkToFit="1" readingOrder="2"/>
      <protection hidden="1"/>
    </xf>
    <xf numFmtId="0" fontId="1" fillId="7" borderId="17" xfId="0" applyFont="1" applyFill="1" applyBorder="1" applyAlignment="1" applyProtection="1">
      <alignment horizontal="center" vertical="center" shrinkToFit="1" readingOrder="2"/>
      <protection hidden="1"/>
    </xf>
    <xf numFmtId="0" fontId="1" fillId="7" borderId="31" xfId="0" applyFont="1" applyFill="1" applyBorder="1" applyAlignment="1" applyProtection="1">
      <alignment horizontal="center" vertical="center" shrinkToFit="1" readingOrder="2"/>
      <protection hidden="1"/>
    </xf>
    <xf numFmtId="1" fontId="1" fillId="8" borderId="4" xfId="0" applyNumberFormat="1" applyFont="1" applyFill="1" applyBorder="1" applyAlignment="1" applyProtection="1">
      <alignment horizontal="center" vertical="center" shrinkToFit="1" readingOrder="2"/>
      <protection hidden="1"/>
    </xf>
    <xf numFmtId="0" fontId="2" fillId="2" borderId="0" xfId="0" applyFont="1" applyFill="1" applyAlignment="1" applyProtection="1">
      <alignment vertical="center" shrinkToFit="1" readingOrder="2"/>
      <protection hidden="1"/>
    </xf>
    <xf numFmtId="1" fontId="1" fillId="2" borderId="0" xfId="0" applyNumberFormat="1" applyFont="1" applyFill="1" applyAlignment="1" applyProtection="1">
      <alignment horizontal="center" vertical="center" shrinkToFit="1" readingOrder="2"/>
      <protection hidden="1"/>
    </xf>
    <xf numFmtId="0" fontId="1" fillId="2" borderId="0" xfId="0" applyFont="1" applyFill="1" applyAlignment="1" applyProtection="1">
      <alignment vertical="center" readingOrder="2"/>
      <protection hidden="1"/>
    </xf>
    <xf numFmtId="0" fontId="2" fillId="2" borderId="0" xfId="0" applyFont="1" applyFill="1" applyAlignment="1" applyProtection="1">
      <alignment vertical="center" readingOrder="2"/>
      <protection hidden="1"/>
    </xf>
    <xf numFmtId="3" fontId="2" fillId="2" borderId="0" xfId="0" applyNumberFormat="1" applyFont="1" applyFill="1" applyAlignment="1" applyProtection="1">
      <alignment horizontal="center" vertical="center" readingOrder="2"/>
      <protection hidden="1"/>
    </xf>
    <xf numFmtId="4" fontId="2" fillId="2" borderId="0" xfId="0" applyNumberFormat="1" applyFont="1" applyFill="1" applyAlignment="1" applyProtection="1">
      <alignment horizontal="center" vertical="center" readingOrder="2"/>
      <protection hidden="1"/>
    </xf>
    <xf numFmtId="0" fontId="1" fillId="8" borderId="47" xfId="0" applyFont="1" applyFill="1" applyBorder="1" applyAlignment="1" applyProtection="1">
      <alignment horizontal="center" vertical="center" shrinkToFit="1" readingOrder="2"/>
      <protection hidden="1"/>
    </xf>
    <xf numFmtId="0" fontId="1" fillId="8" borderId="41" xfId="0" applyFont="1" applyFill="1" applyBorder="1" applyAlignment="1" applyProtection="1">
      <alignment horizontal="center" vertical="center" shrinkToFit="1" readingOrder="2"/>
      <protection hidden="1"/>
    </xf>
    <xf numFmtId="0" fontId="1" fillId="0" borderId="0" xfId="0" applyFont="1" applyAlignment="1" applyProtection="1">
      <alignment horizontal="center" vertical="center" readingOrder="2"/>
      <protection hidden="1"/>
    </xf>
    <xf numFmtId="1" fontId="1" fillId="0" borderId="0" xfId="0" applyNumberFormat="1" applyFont="1" applyAlignment="1" applyProtection="1">
      <alignment horizontal="center" vertical="center" readingOrder="2"/>
      <protection hidden="1"/>
    </xf>
    <xf numFmtId="3" fontId="7" fillId="4" borderId="7" xfId="0" applyNumberFormat="1" applyFont="1" applyFill="1" applyBorder="1" applyAlignment="1" applyProtection="1">
      <alignment horizontal="center" vertical="center" shrinkToFit="1" readingOrder="2"/>
      <protection hidden="1"/>
    </xf>
    <xf numFmtId="3" fontId="7" fillId="4" borderId="9" xfId="0" applyNumberFormat="1" applyFont="1" applyFill="1" applyBorder="1" applyAlignment="1" applyProtection="1">
      <alignment horizontal="center" vertical="center" shrinkToFit="1" readingOrder="2"/>
      <protection hidden="1"/>
    </xf>
    <xf numFmtId="3" fontId="7" fillId="4" borderId="11" xfId="0" applyNumberFormat="1" applyFont="1" applyFill="1" applyBorder="1" applyAlignment="1" applyProtection="1">
      <alignment horizontal="center" vertical="center" shrinkToFit="1" readingOrder="2"/>
      <protection hidden="1"/>
    </xf>
    <xf numFmtId="3" fontId="10" fillId="19" borderId="14" xfId="0" applyNumberFormat="1" applyFont="1" applyFill="1" applyBorder="1" applyAlignment="1" applyProtection="1">
      <alignment horizontal="center" vertical="center" shrinkToFit="1" readingOrder="2"/>
      <protection hidden="1"/>
    </xf>
    <xf numFmtId="0" fontId="1" fillId="8" borderId="13" xfId="0" applyFont="1" applyFill="1" applyBorder="1" applyAlignment="1" applyProtection="1">
      <alignment horizontal="center" vertical="center" shrinkToFit="1" readingOrder="2"/>
      <protection hidden="1"/>
    </xf>
    <xf numFmtId="0" fontId="0" fillId="0" borderId="0" xfId="0" applyAlignment="1" applyProtection="1">
      <alignment horizontal="center" vertical="center"/>
      <protection hidden="1"/>
    </xf>
    <xf numFmtId="0" fontId="10" fillId="2" borderId="0" xfId="0" applyFont="1" applyFill="1" applyAlignment="1" applyProtection="1">
      <alignment vertical="center" shrinkToFit="1" readingOrder="2"/>
      <protection hidden="1"/>
    </xf>
    <xf numFmtId="1" fontId="7" fillId="22" borderId="4" xfId="0" applyNumberFormat="1" applyFont="1" applyFill="1" applyBorder="1" applyAlignment="1" applyProtection="1">
      <alignment horizontal="center" vertical="center" readingOrder="2"/>
      <protection hidden="1"/>
    </xf>
    <xf numFmtId="0" fontId="1" fillId="0" borderId="7" xfId="0" applyFont="1" applyBorder="1" applyAlignment="1" applyProtection="1">
      <alignment horizontal="center" vertical="center" readingOrder="2"/>
      <protection hidden="1"/>
    </xf>
    <xf numFmtId="1" fontId="1" fillId="0" borderId="7" xfId="0" applyNumberFormat="1" applyFont="1" applyBorder="1" applyAlignment="1" applyProtection="1">
      <alignment horizontal="center" vertical="center" readingOrder="2"/>
      <protection hidden="1"/>
    </xf>
    <xf numFmtId="0" fontId="1" fillId="2" borderId="49" xfId="0" applyFont="1" applyFill="1" applyBorder="1" applyAlignment="1" applyProtection="1">
      <alignment vertical="center" shrinkToFit="1" readingOrder="2"/>
      <protection hidden="1"/>
    </xf>
    <xf numFmtId="0" fontId="1" fillId="2" borderId="0" xfId="0" applyFont="1" applyFill="1" applyAlignment="1" applyProtection="1">
      <alignment vertical="center" shrinkToFit="1" readingOrder="2"/>
      <protection hidden="1"/>
    </xf>
    <xf numFmtId="0" fontId="2" fillId="2" borderId="0" xfId="0" applyFont="1" applyFill="1" applyAlignment="1" applyProtection="1">
      <alignment horizontal="center" vertical="center" shrinkToFit="1" readingOrder="2"/>
      <protection hidden="1"/>
    </xf>
    <xf numFmtId="0" fontId="1" fillId="8" borderId="1" xfId="0" applyFont="1" applyFill="1" applyBorder="1" applyAlignment="1" applyProtection="1">
      <alignment horizontal="center" vertical="center" shrinkToFit="1" readingOrder="2"/>
      <protection hidden="1"/>
    </xf>
    <xf numFmtId="0" fontId="1" fillId="8" borderId="8" xfId="0" applyFont="1" applyFill="1" applyBorder="1" applyAlignment="1" applyProtection="1">
      <alignment horizontal="center" vertical="center" shrinkToFit="1" readingOrder="2"/>
      <protection hidden="1"/>
    </xf>
    <xf numFmtId="0" fontId="1" fillId="8" borderId="3" xfId="0" applyFont="1" applyFill="1" applyBorder="1" applyAlignment="1" applyProtection="1">
      <alignment horizontal="center" vertical="center" shrinkToFit="1" readingOrder="2"/>
      <protection hidden="1"/>
    </xf>
    <xf numFmtId="0" fontId="1" fillId="8" borderId="9" xfId="0" applyFont="1" applyFill="1" applyBorder="1" applyAlignment="1" applyProtection="1">
      <alignment horizontal="center" vertical="center" shrinkToFit="1" readingOrder="2"/>
      <protection hidden="1"/>
    </xf>
    <xf numFmtId="0" fontId="1" fillId="8" borderId="5" xfId="0" applyFont="1" applyFill="1" applyBorder="1" applyAlignment="1" applyProtection="1">
      <alignment horizontal="center" vertical="center" shrinkToFit="1" readingOrder="2"/>
      <protection hidden="1"/>
    </xf>
    <xf numFmtId="0" fontId="1" fillId="8" borderId="7" xfId="0" applyFont="1" applyFill="1" applyBorder="1" applyAlignment="1" applyProtection="1">
      <alignment horizontal="center" vertical="center" shrinkToFit="1" readingOrder="2"/>
      <protection hidden="1"/>
    </xf>
    <xf numFmtId="0" fontId="0" fillId="0" borderId="7" xfId="0" applyBorder="1" applyAlignment="1" applyProtection="1">
      <alignment horizontal="center" vertical="center"/>
      <protection hidden="1"/>
    </xf>
    <xf numFmtId="164" fontId="0" fillId="0" borderId="0" xfId="0" applyNumberFormat="1" applyAlignment="1" applyProtection="1">
      <alignment horizontal="center" vertical="center"/>
      <protection hidden="1"/>
    </xf>
    <xf numFmtId="164" fontId="0" fillId="0" borderId="7" xfId="0" applyNumberFormat="1"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10" fillId="9" borderId="13" xfId="0" applyFont="1" applyFill="1" applyBorder="1" applyAlignment="1" applyProtection="1">
      <alignment horizontal="center" vertical="center" shrinkToFit="1"/>
      <protection hidden="1"/>
    </xf>
    <xf numFmtId="0" fontId="10" fillId="9" borderId="14" xfId="0" applyFont="1" applyFill="1" applyBorder="1" applyAlignment="1" applyProtection="1">
      <alignment horizontal="center" vertical="center" shrinkToFit="1"/>
      <protection hidden="1"/>
    </xf>
    <xf numFmtId="0" fontId="10" fillId="9" borderId="15" xfId="0" applyFont="1" applyFill="1" applyBorder="1" applyAlignment="1" applyProtection="1">
      <alignment horizontal="center" vertical="center" shrinkToFit="1"/>
      <protection hidden="1"/>
    </xf>
    <xf numFmtId="0" fontId="10" fillId="9" borderId="14" xfId="0" applyFont="1" applyFill="1" applyBorder="1" applyAlignment="1" applyProtection="1">
      <alignment vertical="center" shrinkToFit="1"/>
      <protection hidden="1"/>
    </xf>
    <xf numFmtId="0" fontId="0" fillId="0" borderId="10"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1" fontId="9" fillId="3" borderId="15" xfId="0" applyNumberFormat="1" applyFont="1" applyFill="1" applyBorder="1" applyAlignment="1" applyProtection="1">
      <alignment horizontal="center" vertical="center" shrinkToFit="1"/>
      <protection hidden="1"/>
    </xf>
    <xf numFmtId="0" fontId="0" fillId="0" borderId="36" xfId="0" applyBorder="1" applyAlignment="1" applyProtection="1">
      <alignment horizontal="center" vertical="center"/>
      <protection hidden="1"/>
    </xf>
    <xf numFmtId="164" fontId="10" fillId="3" borderId="2" xfId="0" applyNumberFormat="1" applyFont="1" applyFill="1" applyBorder="1" applyAlignment="1" applyProtection="1">
      <alignment horizontal="center" vertical="center" shrinkToFit="1" readingOrder="2"/>
      <protection hidden="1"/>
    </xf>
    <xf numFmtId="164" fontId="10" fillId="3" borderId="4" xfId="0" applyNumberFormat="1" applyFont="1" applyFill="1" applyBorder="1" applyAlignment="1" applyProtection="1">
      <alignment horizontal="center" vertical="center" shrinkToFit="1" readingOrder="2"/>
      <protection hidden="1"/>
    </xf>
    <xf numFmtId="164" fontId="10" fillId="3" borderId="6" xfId="0" applyNumberFormat="1" applyFont="1" applyFill="1" applyBorder="1" applyAlignment="1" applyProtection="1">
      <alignment horizontal="center" vertical="center" shrinkToFit="1" readingOrder="2"/>
      <protection hidden="1"/>
    </xf>
    <xf numFmtId="0" fontId="0" fillId="0" borderId="42" xfId="0" applyBorder="1" applyProtection="1">
      <protection hidden="1"/>
    </xf>
    <xf numFmtId="2" fontId="1" fillId="0" borderId="7" xfId="0" applyNumberFormat="1" applyFont="1" applyBorder="1" applyAlignment="1" applyProtection="1">
      <alignment horizontal="center" vertical="center"/>
      <protection hidden="1"/>
    </xf>
    <xf numFmtId="0" fontId="0" fillId="0" borderId="7" xfId="0" applyBorder="1" applyProtection="1">
      <protection hidden="1"/>
    </xf>
    <xf numFmtId="0" fontId="1" fillId="0" borderId="0" xfId="0" applyFont="1" applyAlignment="1" applyProtection="1">
      <alignment horizontal="center" vertical="center" shrinkToFit="1"/>
      <protection hidden="1"/>
    </xf>
    <xf numFmtId="3" fontId="1" fillId="0" borderId="0" xfId="0" applyNumberFormat="1" applyFont="1" applyAlignment="1" applyProtection="1">
      <alignment horizontal="center" vertical="center"/>
      <protection hidden="1"/>
    </xf>
    <xf numFmtId="0" fontId="1" fillId="3" borderId="13" xfId="0" applyFont="1" applyFill="1" applyBorder="1" applyAlignment="1" applyProtection="1">
      <alignment horizontal="center" vertical="center"/>
      <protection hidden="1"/>
    </xf>
    <xf numFmtId="0" fontId="1" fillId="3" borderId="15" xfId="0" applyFont="1" applyFill="1" applyBorder="1" applyAlignment="1" applyProtection="1">
      <alignment horizontal="center" vertical="center"/>
      <protection hidden="1"/>
    </xf>
    <xf numFmtId="0" fontId="1" fillId="3" borderId="42" xfId="0" applyFont="1" applyFill="1" applyBorder="1" applyAlignment="1" applyProtection="1">
      <alignment horizontal="center" vertical="center"/>
      <protection hidden="1"/>
    </xf>
    <xf numFmtId="0" fontId="1" fillId="3" borderId="13" xfId="0" applyFont="1" applyFill="1" applyBorder="1" applyAlignment="1" applyProtection="1">
      <alignment horizontal="center" vertical="center" shrinkToFit="1"/>
      <protection hidden="1"/>
    </xf>
    <xf numFmtId="3" fontId="1" fillId="17" borderId="15" xfId="0" applyNumberFormat="1" applyFont="1" applyFill="1" applyBorder="1" applyAlignment="1" applyProtection="1">
      <alignment horizontal="center" vertical="center"/>
      <protection hidden="1"/>
    </xf>
    <xf numFmtId="1" fontId="2" fillId="0" borderId="10" xfId="0" applyNumberFormat="1" applyFont="1" applyBorder="1" applyAlignment="1" applyProtection="1">
      <alignment horizontal="center" vertical="center"/>
      <protection hidden="1"/>
    </xf>
    <xf numFmtId="1" fontId="2" fillId="0" borderId="12" xfId="0" applyNumberFormat="1" applyFont="1" applyBorder="1" applyAlignment="1" applyProtection="1">
      <alignment horizontal="center" vertical="center"/>
      <protection hidden="1"/>
    </xf>
    <xf numFmtId="1" fontId="2" fillId="0" borderId="43" xfId="0" applyNumberFormat="1" applyFont="1" applyBorder="1" applyAlignment="1" applyProtection="1">
      <alignment horizontal="center" vertical="center"/>
      <protection hidden="1"/>
    </xf>
    <xf numFmtId="1" fontId="2" fillId="0" borderId="5" xfId="0" applyNumberFormat="1" applyFont="1" applyBorder="1" applyAlignment="1" applyProtection="1">
      <alignment horizontal="center" vertical="center"/>
      <protection hidden="1"/>
    </xf>
    <xf numFmtId="1" fontId="2" fillId="0" borderId="6" xfId="0" applyNumberFormat="1" applyFont="1" applyBorder="1" applyAlignment="1" applyProtection="1">
      <alignment horizontal="center" vertical="center"/>
      <protection hidden="1"/>
    </xf>
    <xf numFmtId="1" fontId="2" fillId="0" borderId="44" xfId="0" applyNumberFormat="1" applyFont="1" applyBorder="1" applyAlignment="1" applyProtection="1">
      <alignment horizontal="center" vertical="center"/>
      <protection hidden="1"/>
    </xf>
    <xf numFmtId="164" fontId="9" fillId="3" borderId="15" xfId="0" applyNumberFormat="1" applyFont="1" applyFill="1" applyBorder="1" applyAlignment="1" applyProtection="1">
      <alignment horizontal="center" vertical="center" shrinkToFit="1" readingOrder="2"/>
      <protection hidden="1"/>
    </xf>
    <xf numFmtId="1" fontId="1" fillId="6" borderId="17" xfId="0" applyNumberFormat="1" applyFont="1" applyFill="1" applyBorder="1" applyAlignment="1" applyProtection="1">
      <alignment horizontal="center" vertical="center"/>
      <protection hidden="1"/>
    </xf>
    <xf numFmtId="1" fontId="1" fillId="6" borderId="31" xfId="0" applyNumberFormat="1" applyFont="1" applyFill="1" applyBorder="1" applyAlignment="1" applyProtection="1">
      <alignment horizontal="center" vertical="center"/>
      <protection hidden="1"/>
    </xf>
    <xf numFmtId="0" fontId="5" fillId="0" borderId="41" xfId="0" applyFont="1" applyBorder="1" applyAlignment="1" applyProtection="1">
      <alignment horizontal="center"/>
      <protection hidden="1"/>
    </xf>
    <xf numFmtId="0" fontId="1" fillId="13" borderId="15" xfId="0" applyFont="1" applyFill="1" applyBorder="1" applyAlignment="1" applyProtection="1">
      <alignment horizontal="center" vertical="center"/>
      <protection hidden="1"/>
    </xf>
    <xf numFmtId="1" fontId="1" fillId="13" borderId="42" xfId="0" applyNumberFormat="1" applyFont="1" applyFill="1" applyBorder="1" applyAlignment="1" applyProtection="1">
      <alignment horizontal="center" vertical="center"/>
      <protection hidden="1"/>
    </xf>
    <xf numFmtId="1" fontId="1" fillId="3" borderId="2" xfId="0" applyNumberFormat="1" applyFont="1" applyFill="1" applyBorder="1" applyAlignment="1" applyProtection="1">
      <alignment horizontal="center" vertical="center" shrinkToFit="1" readingOrder="2"/>
      <protection hidden="1"/>
    </xf>
    <xf numFmtId="0" fontId="1" fillId="3" borderId="4" xfId="0" applyFont="1" applyFill="1" applyBorder="1" applyAlignment="1" applyProtection="1">
      <alignment horizontal="center" vertical="center" shrinkToFit="1" readingOrder="2"/>
      <protection hidden="1"/>
    </xf>
    <xf numFmtId="1" fontId="1" fillId="3" borderId="6" xfId="0" applyNumberFormat="1" applyFont="1" applyFill="1" applyBorder="1" applyAlignment="1" applyProtection="1">
      <alignment horizontal="center" vertical="center" shrinkToFit="1" readingOrder="2"/>
      <protection hidden="1"/>
    </xf>
    <xf numFmtId="3" fontId="1" fillId="3" borderId="2" xfId="0" applyNumberFormat="1" applyFont="1" applyFill="1" applyBorder="1" applyAlignment="1" applyProtection="1">
      <alignment horizontal="center" vertical="center" shrinkToFit="1" readingOrder="2"/>
      <protection hidden="1"/>
    </xf>
    <xf numFmtId="1" fontId="1" fillId="3" borderId="12" xfId="0" applyNumberFormat="1" applyFont="1" applyFill="1" applyBorder="1" applyAlignment="1" applyProtection="1">
      <alignment horizontal="center" vertical="center" shrinkToFit="1" readingOrder="2"/>
      <protection hidden="1"/>
    </xf>
    <xf numFmtId="3" fontId="1" fillId="3" borderId="4" xfId="0" applyNumberFormat="1" applyFont="1" applyFill="1" applyBorder="1" applyAlignment="1" applyProtection="1">
      <alignment horizontal="center" vertical="center" shrinkToFit="1" readingOrder="2"/>
      <protection hidden="1"/>
    </xf>
    <xf numFmtId="0" fontId="1" fillId="3" borderId="6" xfId="0" applyFont="1" applyFill="1" applyBorder="1" applyAlignment="1" applyProtection="1">
      <alignment horizontal="center" vertical="center" shrinkToFit="1" readingOrder="2"/>
      <protection hidden="1"/>
    </xf>
    <xf numFmtId="164" fontId="1" fillId="3" borderId="6" xfId="0" applyNumberFormat="1" applyFont="1" applyFill="1" applyBorder="1" applyAlignment="1" applyProtection="1">
      <alignment horizontal="center" vertical="center" shrinkToFit="1" readingOrder="2"/>
      <protection hidden="1"/>
    </xf>
    <xf numFmtId="1" fontId="1" fillId="3" borderId="4" xfId="0" applyNumberFormat="1" applyFont="1" applyFill="1" applyBorder="1" applyAlignment="1" applyProtection="1">
      <alignment horizontal="center" vertical="center" shrinkToFit="1" readingOrder="2"/>
      <protection hidden="1"/>
    </xf>
    <xf numFmtId="3" fontId="9" fillId="4" borderId="7" xfId="0" applyNumberFormat="1" applyFont="1" applyFill="1" applyBorder="1" applyAlignment="1" applyProtection="1">
      <alignment horizontal="center" vertical="center" shrinkToFit="1"/>
      <protection hidden="1"/>
    </xf>
    <xf numFmtId="1" fontId="9" fillId="4" borderId="7" xfId="0" applyNumberFormat="1" applyFont="1" applyFill="1" applyBorder="1" applyAlignment="1" applyProtection="1">
      <alignment horizontal="center" vertical="center" shrinkToFit="1"/>
      <protection hidden="1"/>
    </xf>
    <xf numFmtId="2" fontId="31" fillId="4" borderId="7" xfId="0" applyNumberFormat="1" applyFont="1" applyFill="1" applyBorder="1" applyAlignment="1" applyProtection="1">
      <alignment horizontal="center" vertical="center"/>
      <protection hidden="1"/>
    </xf>
    <xf numFmtId="2" fontId="31" fillId="0" borderId="7" xfId="0" applyNumberFormat="1" applyFont="1" applyBorder="1" applyAlignment="1" applyProtection="1">
      <alignment horizontal="center" vertical="center"/>
      <protection hidden="1"/>
    </xf>
    <xf numFmtId="0" fontId="34" fillId="0" borderId="0" xfId="0" applyFont="1" applyProtection="1">
      <protection hidden="1"/>
    </xf>
    <xf numFmtId="0" fontId="0" fillId="14" borderId="7" xfId="0" applyFill="1" applyBorder="1" applyAlignment="1" applyProtection="1">
      <alignment horizontal="center" vertical="center"/>
      <protection hidden="1"/>
    </xf>
    <xf numFmtId="164" fontId="0" fillId="14" borderId="7" xfId="0" applyNumberFormat="1" applyFill="1" applyBorder="1" applyAlignment="1" applyProtection="1">
      <alignment horizontal="center" vertical="center"/>
      <protection hidden="1"/>
    </xf>
    <xf numFmtId="0" fontId="31" fillId="3" borderId="7" xfId="0" applyFont="1" applyFill="1" applyBorder="1" applyAlignment="1" applyProtection="1">
      <alignment horizontal="center" vertical="center"/>
      <protection hidden="1"/>
    </xf>
    <xf numFmtId="0" fontId="31" fillId="15" borderId="7" xfId="0" applyFont="1" applyFill="1" applyBorder="1" applyAlignment="1" applyProtection="1">
      <alignment horizontal="center" vertical="center"/>
      <protection hidden="1"/>
    </xf>
    <xf numFmtId="0" fontId="31" fillId="14" borderId="7" xfId="0" applyFont="1" applyFill="1" applyBorder="1" applyAlignment="1" applyProtection="1">
      <alignment horizontal="center" vertical="center"/>
      <protection hidden="1"/>
    </xf>
    <xf numFmtId="3" fontId="0" fillId="14" borderId="0" xfId="0" applyNumberFormat="1" applyFill="1" applyProtection="1">
      <protection hidden="1"/>
    </xf>
    <xf numFmtId="0" fontId="36" fillId="23" borderId="7" xfId="0" applyFont="1" applyFill="1" applyBorder="1" applyAlignment="1" applyProtection="1">
      <alignment horizontal="center" vertical="center"/>
      <protection hidden="1"/>
    </xf>
    <xf numFmtId="0" fontId="34" fillId="14" borderId="0" xfId="0" applyFont="1" applyFill="1" applyProtection="1">
      <protection hidden="1"/>
    </xf>
    <xf numFmtId="0" fontId="38" fillId="14" borderId="0" xfId="0" applyFont="1" applyFill="1" applyProtection="1">
      <protection hidden="1"/>
    </xf>
    <xf numFmtId="0" fontId="38" fillId="0" borderId="0" xfId="0" applyFont="1" applyProtection="1">
      <protection hidden="1"/>
    </xf>
    <xf numFmtId="0" fontId="35" fillId="15" borderId="42" xfId="0" applyFont="1" applyFill="1" applyBorder="1" applyAlignment="1" applyProtection="1">
      <alignment horizontal="center" vertical="center"/>
      <protection hidden="1"/>
    </xf>
    <xf numFmtId="0" fontId="21" fillId="14" borderId="0" xfId="0" applyFont="1" applyFill="1" applyAlignment="1" applyProtection="1">
      <alignment vertical="center" shrinkToFit="1"/>
      <protection hidden="1"/>
    </xf>
    <xf numFmtId="0" fontId="0" fillId="2" borderId="21" xfId="0" applyFill="1" applyBorder="1" applyProtection="1">
      <protection hidden="1"/>
    </xf>
    <xf numFmtId="0" fontId="0" fillId="2" borderId="30" xfId="0" applyFill="1" applyBorder="1" applyProtection="1">
      <protection hidden="1"/>
    </xf>
    <xf numFmtId="0" fontId="0" fillId="2" borderId="11" xfId="0" applyFill="1" applyBorder="1" applyProtection="1">
      <protection hidden="1"/>
    </xf>
    <xf numFmtId="1" fontId="9" fillId="3" borderId="7" xfId="0" applyNumberFormat="1" applyFont="1" applyFill="1" applyBorder="1" applyAlignment="1" applyProtection="1">
      <alignment horizontal="center" vertical="center" shrinkToFit="1" readingOrder="2"/>
      <protection locked="0" hidden="1"/>
    </xf>
    <xf numFmtId="3" fontId="9" fillId="3" borderId="7" xfId="0" applyNumberFormat="1" applyFont="1" applyFill="1" applyBorder="1" applyAlignment="1" applyProtection="1">
      <alignment horizontal="center" vertical="center" shrinkToFit="1" readingOrder="2"/>
      <protection locked="0" hidden="1"/>
    </xf>
    <xf numFmtId="3" fontId="44" fillId="0" borderId="50" xfId="0" applyNumberFormat="1" applyFont="1" applyBorder="1" applyAlignment="1" applyProtection="1">
      <alignment horizontal="center" shrinkToFit="1"/>
      <protection hidden="1"/>
    </xf>
    <xf numFmtId="0" fontId="43" fillId="0" borderId="7" xfId="0" applyFont="1" applyBorder="1" applyAlignment="1" applyProtection="1">
      <alignment horizontal="center" vertical="center"/>
      <protection hidden="1"/>
    </xf>
    <xf numFmtId="3" fontId="43" fillId="0" borderId="7" xfId="0" applyNumberFormat="1" applyFont="1" applyBorder="1" applyAlignment="1" applyProtection="1">
      <alignment horizontal="center" vertical="center"/>
      <protection hidden="1"/>
    </xf>
    <xf numFmtId="164" fontId="43" fillId="0" borderId="7" xfId="0" applyNumberFormat="1" applyFont="1" applyBorder="1" applyAlignment="1" applyProtection="1">
      <alignment horizontal="center" vertical="center"/>
      <protection hidden="1"/>
    </xf>
    <xf numFmtId="0" fontId="43" fillId="0" borderId="0" xfId="0" applyFont="1" applyAlignment="1" applyProtection="1">
      <alignment horizontal="center" vertical="center"/>
      <protection hidden="1"/>
    </xf>
    <xf numFmtId="3" fontId="43" fillId="0" borderId="0" xfId="0" applyNumberFormat="1" applyFont="1" applyAlignment="1" applyProtection="1">
      <alignment horizontal="center" vertical="center"/>
      <protection hidden="1"/>
    </xf>
    <xf numFmtId="164" fontId="43" fillId="23" borderId="7" xfId="0" applyNumberFormat="1" applyFont="1" applyFill="1" applyBorder="1" applyAlignment="1" applyProtection="1">
      <alignment horizontal="center" vertical="center"/>
      <protection hidden="1"/>
    </xf>
    <xf numFmtId="0" fontId="43" fillId="14" borderId="7" xfId="0" applyFont="1" applyFill="1" applyBorder="1" applyAlignment="1" applyProtection="1">
      <alignment horizontal="center" vertical="center"/>
      <protection hidden="1"/>
    </xf>
    <xf numFmtId="3" fontId="44" fillId="3" borderId="50" xfId="0" applyNumberFormat="1" applyFont="1" applyFill="1" applyBorder="1" applyAlignment="1" applyProtection="1">
      <alignment horizontal="center" shrinkToFit="1"/>
      <protection hidden="1"/>
    </xf>
    <xf numFmtId="0" fontId="47" fillId="23" borderId="62" xfId="0" applyFont="1" applyFill="1" applyBorder="1" applyAlignment="1">
      <alignment horizontal="center" vertical="center" wrapText="1"/>
    </xf>
    <xf numFmtId="1" fontId="43" fillId="14" borderId="7" xfId="0" applyNumberFormat="1" applyFont="1" applyFill="1" applyBorder="1" applyAlignment="1" applyProtection="1">
      <alignment horizontal="center" vertical="center"/>
      <protection hidden="1"/>
    </xf>
    <xf numFmtId="3" fontId="45" fillId="0" borderId="7" xfId="0" applyNumberFormat="1" applyFont="1" applyBorder="1" applyAlignment="1" applyProtection="1">
      <alignment horizontal="center" vertical="center" shrinkToFit="1"/>
      <protection hidden="1"/>
    </xf>
    <xf numFmtId="3" fontId="45" fillId="0" borderId="61" xfId="0" applyNumberFormat="1" applyFont="1" applyBorder="1" applyAlignment="1" applyProtection="1">
      <alignment horizontal="center" vertical="center" shrinkToFit="1"/>
      <protection hidden="1"/>
    </xf>
    <xf numFmtId="3" fontId="45" fillId="0" borderId="70" xfId="0" applyNumberFormat="1" applyFont="1" applyBorder="1" applyAlignment="1" applyProtection="1">
      <alignment horizontal="center" vertical="center" shrinkToFit="1"/>
      <protection hidden="1"/>
    </xf>
    <xf numFmtId="0" fontId="0" fillId="0" borderId="0" xfId="0"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horizontal="justify" vertical="center" wrapText="1"/>
    </xf>
    <xf numFmtId="3" fontId="45" fillId="0" borderId="60" xfId="0" applyNumberFormat="1" applyFont="1" applyBorder="1" applyAlignment="1" applyProtection="1">
      <alignment horizontal="center" vertical="center" shrinkToFit="1"/>
      <protection hidden="1"/>
    </xf>
    <xf numFmtId="0" fontId="16" fillId="0" borderId="0" xfId="0" applyFont="1" applyAlignment="1" applyProtection="1">
      <alignment vertical="center" shrinkToFit="1"/>
      <protection hidden="1"/>
    </xf>
    <xf numFmtId="0" fontId="21" fillId="0" borderId="0" xfId="0" applyFont="1" applyAlignment="1" applyProtection="1">
      <alignment vertical="center" shrinkToFit="1"/>
      <protection hidden="1"/>
    </xf>
    <xf numFmtId="0" fontId="40" fillId="0" borderId="0" xfId="0" applyFont="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3" fillId="0" borderId="0" xfId="0" applyFont="1" applyAlignment="1" applyProtection="1">
      <alignment shrinkToFit="1"/>
      <protection hidden="1"/>
    </xf>
    <xf numFmtId="0" fontId="39" fillId="0" borderId="0" xfId="0" applyFont="1" applyAlignment="1" applyProtection="1">
      <alignment horizontal="center" shrinkToFit="1"/>
      <protection hidden="1"/>
    </xf>
    <xf numFmtId="0" fontId="47" fillId="23" borderId="7" xfId="0" applyFont="1" applyFill="1" applyBorder="1" applyAlignment="1">
      <alignment horizontal="center" vertical="center" wrapText="1"/>
    </xf>
    <xf numFmtId="3" fontId="43" fillId="3" borderId="7" xfId="0" applyNumberFormat="1" applyFont="1" applyFill="1" applyBorder="1" applyAlignment="1" applyProtection="1">
      <alignment horizontal="center" vertical="center"/>
      <protection hidden="1"/>
    </xf>
    <xf numFmtId="3" fontId="0" fillId="3" borderId="0" xfId="0" applyNumberFormat="1" applyFill="1" applyProtection="1">
      <protection hidden="1"/>
    </xf>
    <xf numFmtId="0" fontId="3" fillId="20" borderId="29" xfId="0" applyFont="1" applyFill="1" applyBorder="1" applyAlignment="1" applyProtection="1">
      <alignment horizontal="center" vertical="center" wrapText="1" shrinkToFit="1"/>
      <protection hidden="1"/>
    </xf>
    <xf numFmtId="0" fontId="9" fillId="20" borderId="24" xfId="0" applyFont="1" applyFill="1" applyBorder="1" applyAlignment="1" applyProtection="1">
      <alignment horizontal="center" vertical="center" shrinkToFit="1"/>
      <protection hidden="1"/>
    </xf>
    <xf numFmtId="3" fontId="44" fillId="20" borderId="7" xfId="0" applyNumberFormat="1" applyFont="1" applyFill="1" applyBorder="1" applyAlignment="1" applyProtection="1">
      <alignment horizontal="center" vertical="center" shrinkToFit="1"/>
      <protection hidden="1"/>
    </xf>
    <xf numFmtId="3" fontId="45" fillId="10" borderId="61" xfId="0" applyNumberFormat="1" applyFont="1" applyFill="1" applyBorder="1" applyAlignment="1" applyProtection="1">
      <alignment horizontal="center" vertical="center" shrinkToFit="1"/>
      <protection hidden="1"/>
    </xf>
    <xf numFmtId="3" fontId="45" fillId="24" borderId="61" xfId="0" applyNumberFormat="1" applyFont="1" applyFill="1" applyBorder="1" applyAlignment="1" applyProtection="1">
      <alignment horizontal="center" vertical="center" shrinkToFit="1"/>
      <protection hidden="1"/>
    </xf>
    <xf numFmtId="3" fontId="45" fillId="24" borderId="60" xfId="0" applyNumberFormat="1" applyFont="1" applyFill="1" applyBorder="1" applyAlignment="1" applyProtection="1">
      <alignment horizontal="center" vertical="center" shrinkToFit="1"/>
      <protection hidden="1"/>
    </xf>
    <xf numFmtId="165" fontId="45" fillId="24" borderId="60" xfId="0" applyNumberFormat="1" applyFont="1" applyFill="1" applyBorder="1" applyAlignment="1" applyProtection="1">
      <alignment horizontal="center" vertical="center" shrinkToFit="1"/>
      <protection hidden="1"/>
    </xf>
    <xf numFmtId="3" fontId="37" fillId="11" borderId="7" xfId="0" applyNumberFormat="1" applyFont="1" applyFill="1" applyBorder="1" applyAlignment="1" applyProtection="1">
      <alignment horizontal="center" vertical="center" shrinkToFit="1"/>
      <protection hidden="1"/>
    </xf>
    <xf numFmtId="3" fontId="37" fillId="11" borderId="7" xfId="0" applyNumberFormat="1" applyFont="1" applyFill="1" applyBorder="1" applyAlignment="1" applyProtection="1">
      <alignment horizontal="center" vertical="center" wrapText="1" shrinkToFit="1" readingOrder="2"/>
      <protection hidden="1"/>
    </xf>
    <xf numFmtId="0" fontId="0" fillId="3" borderId="0" xfId="0" applyFill="1" applyProtection="1">
      <protection hidden="1"/>
    </xf>
    <xf numFmtId="0" fontId="10" fillId="6" borderId="7" xfId="0" applyFont="1" applyFill="1" applyBorder="1" applyAlignment="1" applyProtection="1">
      <alignment horizontal="center" vertical="center" shrinkToFit="1" readingOrder="2"/>
      <protection hidden="1"/>
    </xf>
    <xf numFmtId="0" fontId="20" fillId="4" borderId="27" xfId="0" applyFont="1" applyFill="1" applyBorder="1" applyAlignment="1" applyProtection="1">
      <alignment horizontal="center" vertical="center" shrinkToFit="1"/>
      <protection hidden="1"/>
    </xf>
    <xf numFmtId="0" fontId="20" fillId="4" borderId="0" xfId="0" applyFont="1" applyFill="1" applyAlignment="1" applyProtection="1">
      <alignment horizontal="center" vertical="center" shrinkToFit="1"/>
      <protection hidden="1"/>
    </xf>
    <xf numFmtId="0" fontId="20" fillId="4" borderId="28" xfId="0" applyFont="1" applyFill="1" applyBorder="1" applyAlignment="1" applyProtection="1">
      <alignment horizontal="center" vertical="center" shrinkToFit="1"/>
      <protection hidden="1"/>
    </xf>
    <xf numFmtId="0" fontId="18" fillId="4" borderId="29" xfId="0" applyFont="1" applyFill="1" applyBorder="1" applyAlignment="1" applyProtection="1">
      <alignment horizontal="center" vertical="center" shrinkToFit="1"/>
      <protection hidden="1"/>
    </xf>
    <xf numFmtId="0" fontId="18" fillId="4" borderId="24" xfId="0" applyFont="1" applyFill="1" applyBorder="1" applyAlignment="1" applyProtection="1">
      <alignment horizontal="center" vertical="center" shrinkToFit="1"/>
      <protection hidden="1"/>
    </xf>
    <xf numFmtId="0" fontId="18" fillId="4" borderId="25" xfId="0" applyFont="1" applyFill="1" applyBorder="1" applyAlignment="1" applyProtection="1">
      <alignment horizontal="center" vertical="center" shrinkToFit="1"/>
      <protection hidden="1"/>
    </xf>
    <xf numFmtId="0" fontId="46" fillId="0" borderId="53" xfId="0" applyFont="1" applyBorder="1" applyAlignment="1" applyProtection="1">
      <alignment horizontal="center" vertical="center" shrinkToFit="1"/>
      <protection hidden="1"/>
    </xf>
    <xf numFmtId="0" fontId="46" fillId="0" borderId="54" xfId="0" applyFont="1" applyBorder="1" applyAlignment="1" applyProtection="1">
      <alignment horizontal="center" vertical="center" shrinkToFit="1"/>
      <protection hidden="1"/>
    </xf>
    <xf numFmtId="0" fontId="46" fillId="0" borderId="58" xfId="0" applyFont="1" applyBorder="1" applyAlignment="1" applyProtection="1">
      <alignment horizontal="center" vertical="center" shrinkToFit="1"/>
      <protection hidden="1"/>
    </xf>
    <xf numFmtId="0" fontId="46" fillId="10" borderId="52" xfId="0" applyFont="1" applyFill="1" applyBorder="1" applyAlignment="1" applyProtection="1">
      <alignment horizontal="center" vertical="center" shrinkToFit="1"/>
      <protection hidden="1"/>
    </xf>
    <xf numFmtId="0" fontId="46" fillId="10" borderId="51" xfId="0" applyFont="1" applyFill="1" applyBorder="1" applyAlignment="1" applyProtection="1">
      <alignment horizontal="center" vertical="center" shrinkToFit="1"/>
      <protection hidden="1"/>
    </xf>
    <xf numFmtId="0" fontId="46" fillId="10" borderId="59" xfId="0" applyFont="1" applyFill="1" applyBorder="1" applyAlignment="1" applyProtection="1">
      <alignment horizontal="center" vertical="center" shrinkToFit="1"/>
      <protection hidden="1"/>
    </xf>
    <xf numFmtId="0" fontId="46" fillId="0" borderId="67" xfId="0" applyFont="1" applyBorder="1" applyAlignment="1" applyProtection="1">
      <alignment horizontal="center" vertical="center" shrinkToFit="1"/>
      <protection hidden="1"/>
    </xf>
    <xf numFmtId="0" fontId="46" fillId="0" borderId="68" xfId="0" applyFont="1" applyBorder="1" applyAlignment="1" applyProtection="1">
      <alignment horizontal="center" vertical="center" shrinkToFit="1"/>
      <protection hidden="1"/>
    </xf>
    <xf numFmtId="0" fontId="46" fillId="0" borderId="69" xfId="0" applyFont="1" applyBorder="1" applyAlignment="1" applyProtection="1">
      <alignment horizontal="center" vertical="center" shrinkToFit="1"/>
      <protection hidden="1"/>
    </xf>
    <xf numFmtId="0" fontId="46" fillId="0" borderId="52" xfId="0" applyFont="1" applyBorder="1" applyAlignment="1" applyProtection="1">
      <alignment horizontal="center" vertical="center" shrinkToFit="1"/>
      <protection hidden="1"/>
    </xf>
    <xf numFmtId="0" fontId="46" fillId="0" borderId="51" xfId="0" applyFont="1" applyBorder="1" applyAlignment="1" applyProtection="1">
      <alignment horizontal="center" vertical="center" shrinkToFit="1"/>
      <protection hidden="1"/>
    </xf>
    <xf numFmtId="0" fontId="46" fillId="0" borderId="59" xfId="0" applyFont="1" applyBorder="1" applyAlignment="1" applyProtection="1">
      <alignment horizontal="center" vertical="center" shrinkToFit="1"/>
      <protection hidden="1"/>
    </xf>
    <xf numFmtId="0" fontId="37" fillId="11" borderId="7" xfId="0" applyFont="1" applyFill="1" applyBorder="1" applyAlignment="1" applyProtection="1">
      <alignment horizontal="center" vertical="center" wrapText="1" shrinkToFit="1"/>
      <protection hidden="1"/>
    </xf>
    <xf numFmtId="0" fontId="37" fillId="11" borderId="7" xfId="0" applyFont="1" applyFill="1" applyBorder="1" applyAlignment="1" applyProtection="1">
      <alignment horizontal="center" vertical="center" shrinkToFit="1"/>
      <protection hidden="1"/>
    </xf>
    <xf numFmtId="0" fontId="23" fillId="20" borderId="55" xfId="0" applyFont="1" applyFill="1" applyBorder="1" applyAlignment="1" applyProtection="1">
      <alignment horizontal="center" vertical="center" shrinkToFit="1"/>
      <protection hidden="1"/>
    </xf>
    <xf numFmtId="0" fontId="23" fillId="20" borderId="56" xfId="0" applyFont="1" applyFill="1" applyBorder="1" applyAlignment="1" applyProtection="1">
      <alignment horizontal="center" vertical="center" shrinkToFit="1"/>
      <protection hidden="1"/>
    </xf>
    <xf numFmtId="0" fontId="23" fillId="20" borderId="57" xfId="0" applyFont="1" applyFill="1" applyBorder="1" applyAlignment="1" applyProtection="1">
      <alignment horizontal="center" vertical="center" shrinkToFit="1"/>
      <protection hidden="1"/>
    </xf>
    <xf numFmtId="0" fontId="41" fillId="4" borderId="22" xfId="0" applyFont="1" applyFill="1" applyBorder="1" applyAlignment="1" applyProtection="1">
      <alignment horizontal="center" vertical="center" shrinkToFit="1"/>
      <protection hidden="1"/>
    </xf>
    <xf numFmtId="0" fontId="41" fillId="4" borderId="23" xfId="0" applyFont="1" applyFill="1" applyBorder="1" applyAlignment="1" applyProtection="1">
      <alignment horizontal="center" vertical="center" shrinkToFit="1"/>
      <protection hidden="1"/>
    </xf>
    <xf numFmtId="0" fontId="41" fillId="4" borderId="26" xfId="0" applyFont="1" applyFill="1" applyBorder="1" applyAlignment="1" applyProtection="1">
      <alignment horizontal="center" vertical="center" shrinkToFit="1"/>
      <protection hidden="1"/>
    </xf>
    <xf numFmtId="0" fontId="46" fillId="24" borderId="53" xfId="0" applyFont="1" applyFill="1" applyBorder="1" applyAlignment="1" applyProtection="1">
      <alignment horizontal="center" vertical="center" shrinkToFit="1"/>
      <protection hidden="1"/>
    </xf>
    <xf numFmtId="0" fontId="46" fillId="24" borderId="54" xfId="0" applyFont="1" applyFill="1" applyBorder="1" applyAlignment="1" applyProtection="1">
      <alignment horizontal="center" vertical="center" shrinkToFit="1"/>
      <protection hidden="1"/>
    </xf>
    <xf numFmtId="0" fontId="46" fillId="24" borderId="58" xfId="0" applyFont="1" applyFill="1" applyBorder="1" applyAlignment="1" applyProtection="1">
      <alignment horizontal="center" vertical="center" shrinkToFit="1"/>
      <protection hidden="1"/>
    </xf>
    <xf numFmtId="0" fontId="52" fillId="0" borderId="0" xfId="0" applyFont="1" applyAlignment="1" applyProtection="1">
      <alignment horizontal="center" vertical="center" shrinkToFit="1"/>
      <protection hidden="1"/>
    </xf>
    <xf numFmtId="0" fontId="55" fillId="0" borderId="0" xfId="0" applyFont="1" applyAlignment="1" applyProtection="1">
      <alignment horizontal="center" vertical="center" shrinkToFit="1"/>
      <protection hidden="1"/>
    </xf>
    <xf numFmtId="0" fontId="51" fillId="0" borderId="0" xfId="0" applyFont="1" applyAlignment="1" applyProtection="1">
      <alignment horizontal="center" vertical="center" shrinkToFit="1"/>
      <protection hidden="1"/>
    </xf>
    <xf numFmtId="0" fontId="10" fillId="6" borderId="7" xfId="0" applyFont="1" applyFill="1" applyBorder="1" applyAlignment="1" applyProtection="1">
      <alignment horizontal="center" vertical="center" shrinkToFit="1" readingOrder="2"/>
      <protection hidden="1"/>
    </xf>
    <xf numFmtId="0" fontId="37" fillId="20" borderId="22" xfId="0" applyFont="1" applyFill="1" applyBorder="1" applyAlignment="1" applyProtection="1">
      <alignment horizontal="center" vertical="center" wrapText="1" shrinkToFit="1"/>
      <protection hidden="1"/>
    </xf>
    <xf numFmtId="0" fontId="9" fillId="20" borderId="23" xfId="0" applyFont="1" applyFill="1" applyBorder="1" applyAlignment="1" applyProtection="1">
      <alignment horizontal="center" vertical="center" shrinkToFit="1"/>
      <protection hidden="1"/>
    </xf>
    <xf numFmtId="3" fontId="37" fillId="20" borderId="21" xfId="0" applyNumberFormat="1" applyFont="1" applyFill="1" applyBorder="1" applyAlignment="1" applyProtection="1">
      <alignment horizontal="center" vertical="center" wrapText="1" shrinkToFit="1" readingOrder="2"/>
      <protection hidden="1"/>
    </xf>
    <xf numFmtId="3" fontId="37" fillId="20" borderId="11" xfId="0" applyNumberFormat="1" applyFont="1" applyFill="1" applyBorder="1" applyAlignment="1" applyProtection="1">
      <alignment horizontal="center" vertical="center" wrapText="1" shrinkToFit="1" readingOrder="2"/>
      <protection hidden="1"/>
    </xf>
    <xf numFmtId="0" fontId="18" fillId="7" borderId="19" xfId="1" applyFont="1" applyFill="1" applyBorder="1" applyAlignment="1" applyProtection="1">
      <alignment horizontal="center" vertical="center" shrinkToFit="1"/>
      <protection hidden="1"/>
    </xf>
    <xf numFmtId="0" fontId="18" fillId="7" borderId="20" xfId="1" applyFont="1" applyFill="1" applyBorder="1" applyAlignment="1" applyProtection="1">
      <alignment horizontal="center" vertical="center" shrinkToFit="1"/>
      <protection hidden="1"/>
    </xf>
    <xf numFmtId="0" fontId="21" fillId="6" borderId="19" xfId="0" applyFont="1" applyFill="1" applyBorder="1" applyAlignment="1" applyProtection="1">
      <alignment horizontal="center" vertical="center" shrinkToFit="1"/>
      <protection hidden="1"/>
    </xf>
    <xf numFmtId="0" fontId="21" fillId="6" borderId="20" xfId="0" applyFont="1" applyFill="1" applyBorder="1" applyAlignment="1" applyProtection="1">
      <alignment horizontal="center" vertical="center" shrinkToFit="1"/>
      <protection hidden="1"/>
    </xf>
    <xf numFmtId="3" fontId="37" fillId="20" borderId="7" xfId="0" applyNumberFormat="1" applyFont="1" applyFill="1" applyBorder="1" applyAlignment="1" applyProtection="1">
      <alignment horizontal="center" vertical="center" shrinkToFit="1"/>
      <protection hidden="1"/>
    </xf>
    <xf numFmtId="0" fontId="46" fillId="24" borderId="52" xfId="0" applyFont="1" applyFill="1" applyBorder="1" applyAlignment="1" applyProtection="1">
      <alignment horizontal="center" vertical="center" shrinkToFit="1"/>
      <protection hidden="1"/>
    </xf>
    <xf numFmtId="0" fontId="46" fillId="24" borderId="51" xfId="0" applyFont="1" applyFill="1" applyBorder="1" applyAlignment="1" applyProtection="1">
      <alignment horizontal="center" vertical="center" shrinkToFit="1"/>
      <protection hidden="1"/>
    </xf>
    <xf numFmtId="0" fontId="46" fillId="24" borderId="59" xfId="0" applyFont="1" applyFill="1" applyBorder="1" applyAlignment="1" applyProtection="1">
      <alignment horizontal="center" vertical="center" shrinkToFit="1"/>
      <protection hidden="1"/>
    </xf>
    <xf numFmtId="0" fontId="46" fillId="0" borderId="71" xfId="0" applyFont="1" applyBorder="1" applyAlignment="1" applyProtection="1">
      <alignment horizontal="center" vertical="center" shrinkToFit="1"/>
      <protection hidden="1"/>
    </xf>
    <xf numFmtId="0" fontId="46" fillId="0" borderId="72" xfId="0" applyFont="1" applyBorder="1" applyAlignment="1" applyProtection="1">
      <alignment horizontal="center" vertical="center" shrinkToFit="1"/>
      <protection hidden="1"/>
    </xf>
    <xf numFmtId="0" fontId="46" fillId="0" borderId="73" xfId="0" applyFont="1" applyBorder="1" applyAlignment="1" applyProtection="1">
      <alignment horizontal="center" vertical="center" shrinkToFit="1"/>
      <protection hidden="1"/>
    </xf>
    <xf numFmtId="0" fontId="10" fillId="6" borderId="19" xfId="0" applyFont="1" applyFill="1" applyBorder="1" applyAlignment="1" applyProtection="1">
      <alignment horizontal="center" vertical="center" shrinkToFit="1" readingOrder="2"/>
      <protection hidden="1"/>
    </xf>
    <xf numFmtId="0" fontId="10" fillId="6" borderId="20" xfId="0" applyFont="1" applyFill="1" applyBorder="1" applyAlignment="1" applyProtection="1">
      <alignment horizontal="center" vertical="center" shrinkToFit="1" readingOrder="2"/>
      <protection hidden="1"/>
    </xf>
    <xf numFmtId="0" fontId="2" fillId="2" borderId="0" xfId="0" applyFont="1" applyFill="1" applyAlignment="1" applyProtection="1">
      <alignment horizontal="left" vertical="center" readingOrder="2"/>
      <protection hidden="1"/>
    </xf>
    <xf numFmtId="0" fontId="47" fillId="23" borderId="63" xfId="0" applyFont="1" applyFill="1" applyBorder="1" applyAlignment="1">
      <alignment horizontal="center" vertical="center" wrapText="1"/>
    </xf>
    <xf numFmtId="0" fontId="47" fillId="23" borderId="64" xfId="0" applyFont="1" applyFill="1" applyBorder="1" applyAlignment="1">
      <alignment horizontal="center" vertical="center" wrapText="1"/>
    </xf>
    <xf numFmtId="0" fontId="47" fillId="23" borderId="65" xfId="0" applyFont="1" applyFill="1" applyBorder="1" applyAlignment="1">
      <alignment horizontal="center" vertical="center" wrapText="1"/>
    </xf>
    <xf numFmtId="0" fontId="47" fillId="23" borderId="66" xfId="0" applyFont="1" applyFill="1" applyBorder="1" applyAlignment="1">
      <alignment horizontal="center" vertical="center" wrapText="1"/>
    </xf>
    <xf numFmtId="0" fontId="15" fillId="14" borderId="0" xfId="0" applyFont="1" applyFill="1" applyAlignment="1" applyProtection="1">
      <alignment horizontal="center" shrinkToFit="1"/>
      <protection hidden="1"/>
    </xf>
    <xf numFmtId="0" fontId="15" fillId="14" borderId="0" xfId="0" applyFont="1" applyFill="1" applyAlignment="1" applyProtection="1">
      <alignment horizontal="center" wrapText="1" shrinkToFit="1"/>
      <protection hidden="1"/>
    </xf>
    <xf numFmtId="0" fontId="15" fillId="14" borderId="46" xfId="0" applyFont="1" applyFill="1" applyBorder="1" applyAlignment="1" applyProtection="1">
      <alignment horizontal="center" wrapText="1"/>
      <protection hidden="1"/>
    </xf>
    <xf numFmtId="0" fontId="15" fillId="14" borderId="45" xfId="0" applyFont="1" applyFill="1" applyBorder="1" applyAlignment="1" applyProtection="1">
      <alignment horizontal="center" wrapText="1"/>
      <protection hidden="1"/>
    </xf>
    <xf numFmtId="0" fontId="17" fillId="18" borderId="47" xfId="0" applyFont="1" applyFill="1" applyBorder="1" applyAlignment="1" applyProtection="1">
      <alignment horizontal="center" vertical="center" shrinkToFit="1"/>
      <protection hidden="1"/>
    </xf>
    <xf numFmtId="0" fontId="17" fillId="18" borderId="48" xfId="0" applyFont="1" applyFill="1" applyBorder="1" applyAlignment="1" applyProtection="1">
      <alignment horizontal="center" vertical="center" shrinkToFit="1"/>
      <protection hidden="1"/>
    </xf>
    <xf numFmtId="0" fontId="1" fillId="3" borderId="7" xfId="0" applyFont="1" applyFill="1" applyBorder="1" applyAlignment="1" applyProtection="1">
      <alignment horizontal="center" vertical="center" shrinkToFit="1"/>
      <protection hidden="1"/>
    </xf>
    <xf numFmtId="0" fontId="22" fillId="21" borderId="1" xfId="0" applyFont="1" applyFill="1" applyBorder="1" applyAlignment="1" applyProtection="1">
      <alignment horizontal="center" vertical="center" wrapText="1" shrinkToFit="1"/>
      <protection hidden="1"/>
    </xf>
    <xf numFmtId="0" fontId="22" fillId="21" borderId="2" xfId="0" applyFont="1" applyFill="1" applyBorder="1" applyAlignment="1" applyProtection="1">
      <alignment horizontal="center" vertical="center" shrinkToFit="1"/>
      <protection hidden="1"/>
    </xf>
    <xf numFmtId="0" fontId="5" fillId="11" borderId="13" xfId="0" applyFont="1" applyFill="1" applyBorder="1" applyAlignment="1" applyProtection="1">
      <alignment horizontal="center"/>
      <protection hidden="1"/>
    </xf>
    <xf numFmtId="0" fontId="5" fillId="11" borderId="14" xfId="0" applyFont="1" applyFill="1" applyBorder="1" applyAlignment="1" applyProtection="1">
      <alignment horizontal="center"/>
      <protection hidden="1"/>
    </xf>
    <xf numFmtId="0" fontId="5" fillId="13" borderId="13" xfId="0" applyFont="1" applyFill="1" applyBorder="1" applyAlignment="1" applyProtection="1">
      <alignment horizontal="center"/>
      <protection hidden="1"/>
    </xf>
    <xf numFmtId="0" fontId="5" fillId="13" borderId="14" xfId="0" applyFont="1" applyFill="1" applyBorder="1" applyAlignment="1" applyProtection="1">
      <alignment horizontal="center"/>
      <protection hidden="1"/>
    </xf>
    <xf numFmtId="0" fontId="5" fillId="7" borderId="1" xfId="0" applyFont="1" applyFill="1" applyBorder="1" applyAlignment="1" applyProtection="1">
      <alignment horizontal="center"/>
      <protection hidden="1"/>
    </xf>
    <xf numFmtId="0" fontId="5" fillId="7" borderId="8" xfId="0" applyFont="1" applyFill="1" applyBorder="1" applyAlignment="1" applyProtection="1">
      <alignment horizontal="center"/>
      <protection hidden="1"/>
    </xf>
    <xf numFmtId="0" fontId="5" fillId="7" borderId="2" xfId="0" applyFont="1" applyFill="1" applyBorder="1" applyAlignment="1" applyProtection="1">
      <alignment horizontal="center"/>
      <protection hidden="1"/>
    </xf>
    <xf numFmtId="0" fontId="5" fillId="3" borderId="32" xfId="0" applyFont="1" applyFill="1" applyBorder="1" applyAlignment="1" applyProtection="1">
      <alignment horizontal="center"/>
      <protection hidden="1"/>
    </xf>
    <xf numFmtId="0" fontId="5" fillId="3" borderId="35" xfId="0" applyFont="1" applyFill="1" applyBorder="1" applyAlignment="1" applyProtection="1">
      <alignment horizont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1" fillId="8" borderId="10" xfId="0" applyFont="1" applyFill="1" applyBorder="1" applyAlignment="1" applyProtection="1">
      <alignment horizontal="center" vertical="center" shrinkToFit="1" readingOrder="2"/>
      <protection hidden="1"/>
    </xf>
    <xf numFmtId="0" fontId="1" fillId="8" borderId="11" xfId="0" applyFont="1" applyFill="1" applyBorder="1" applyAlignment="1" applyProtection="1">
      <alignment horizontal="center" vertical="center" shrinkToFit="1" readingOrder="2"/>
      <protection hidden="1"/>
    </xf>
    <xf numFmtId="0" fontId="23" fillId="2" borderId="0" xfId="0" applyFont="1" applyFill="1" applyAlignment="1" applyProtection="1">
      <alignment horizontal="center" readingOrder="2"/>
      <protection hidden="1"/>
    </xf>
    <xf numFmtId="0" fontId="25" fillId="2" borderId="0" xfId="0" applyFont="1" applyFill="1" applyAlignment="1" applyProtection="1">
      <alignment horizontal="center" vertical="center" readingOrder="2"/>
      <protection hidden="1"/>
    </xf>
    <xf numFmtId="0" fontId="7" fillId="2" borderId="0" xfId="0" applyFont="1" applyFill="1" applyAlignment="1" applyProtection="1">
      <alignment horizontal="center" vertical="center" readingOrder="2"/>
      <protection hidden="1"/>
    </xf>
    <xf numFmtId="0" fontId="1" fillId="7" borderId="13" xfId="0" applyFont="1" applyFill="1" applyBorder="1" applyAlignment="1" applyProtection="1">
      <alignment horizontal="center" vertical="center" shrinkToFit="1" readingOrder="2"/>
      <protection hidden="1"/>
    </xf>
    <xf numFmtId="0" fontId="1" fillId="7" borderId="14" xfId="0" applyFont="1" applyFill="1" applyBorder="1" applyAlignment="1" applyProtection="1">
      <alignment horizontal="center" vertical="center" shrinkToFit="1" readingOrder="2"/>
      <protection hidden="1"/>
    </xf>
    <xf numFmtId="0" fontId="1" fillId="6" borderId="17" xfId="0" applyFont="1" applyFill="1" applyBorder="1" applyAlignment="1" applyProtection="1">
      <alignment horizontal="center" vertical="center" shrinkToFit="1" readingOrder="2"/>
      <protection hidden="1"/>
    </xf>
    <xf numFmtId="0" fontId="1" fillId="6" borderId="16" xfId="0" applyFont="1" applyFill="1" applyBorder="1" applyAlignment="1" applyProtection="1">
      <alignment horizontal="center" vertical="center" shrinkToFit="1" readingOrder="2"/>
      <protection hidden="1"/>
    </xf>
    <xf numFmtId="0" fontId="1" fillId="6" borderId="18" xfId="0" applyFont="1" applyFill="1" applyBorder="1" applyAlignment="1" applyProtection="1">
      <alignment horizontal="center" vertical="center" shrinkToFit="1" readingOrder="2"/>
      <protection hidden="1"/>
    </xf>
    <xf numFmtId="0" fontId="1" fillId="8" borderId="1" xfId="0" applyFont="1" applyFill="1" applyBorder="1" applyAlignment="1" applyProtection="1">
      <alignment horizontal="center" vertical="center" shrinkToFit="1" readingOrder="2"/>
      <protection hidden="1"/>
    </xf>
    <xf numFmtId="0" fontId="1" fillId="8" borderId="8" xfId="0" applyFont="1" applyFill="1" applyBorder="1" applyAlignment="1" applyProtection="1">
      <alignment horizontal="center" vertical="center" shrinkToFit="1" readingOrder="2"/>
      <protection hidden="1"/>
    </xf>
    <xf numFmtId="0" fontId="1" fillId="8" borderId="3" xfId="0" applyFont="1" applyFill="1" applyBorder="1" applyAlignment="1" applyProtection="1">
      <alignment horizontal="center" vertical="center" shrinkToFit="1" readingOrder="2"/>
      <protection hidden="1"/>
    </xf>
    <xf numFmtId="0" fontId="1" fillId="8" borderId="9" xfId="0" applyFont="1" applyFill="1" applyBorder="1" applyAlignment="1" applyProtection="1">
      <alignment horizontal="center" vertical="center" shrinkToFit="1" readingOrder="2"/>
      <protection hidden="1"/>
    </xf>
    <xf numFmtId="2" fontId="27" fillId="2" borderId="0" xfId="1" applyNumberFormat="1" applyFont="1" applyFill="1" applyBorder="1" applyAlignment="1" applyProtection="1">
      <alignment horizontal="center" wrapText="1" shrinkToFit="1" readingOrder="2"/>
      <protection hidden="1"/>
    </xf>
    <xf numFmtId="0" fontId="1" fillId="8" borderId="5" xfId="0" applyFont="1" applyFill="1" applyBorder="1" applyAlignment="1" applyProtection="1">
      <alignment horizontal="center" vertical="center" shrinkToFit="1" readingOrder="2"/>
      <protection hidden="1"/>
    </xf>
    <xf numFmtId="0" fontId="1" fillId="8" borderId="7" xfId="0" applyFont="1" applyFill="1" applyBorder="1" applyAlignment="1" applyProtection="1">
      <alignment horizontal="center" vertical="center" shrinkToFit="1" readingOrder="2"/>
      <protection hidden="1"/>
    </xf>
    <xf numFmtId="0" fontId="6" fillId="2" borderId="0" xfId="1" applyFill="1" applyBorder="1" applyAlignment="1" applyProtection="1">
      <alignment horizontal="center" vertical="center" shrinkToFit="1" readingOrder="2"/>
      <protection hidden="1"/>
    </xf>
    <xf numFmtId="0" fontId="2" fillId="2" borderId="0" xfId="0" applyFont="1" applyFill="1" applyAlignment="1" applyProtection="1">
      <alignment horizontal="center" vertical="center" shrinkToFit="1" readingOrder="2"/>
      <protection hidden="1"/>
    </xf>
    <xf numFmtId="0" fontId="4" fillId="2" borderId="0" xfId="0" applyFont="1" applyFill="1" applyAlignment="1" applyProtection="1">
      <alignment horizontal="center" vertical="center" shrinkToFit="1" readingOrder="2"/>
      <protection hidden="1"/>
    </xf>
    <xf numFmtId="0" fontId="28" fillId="2" borderId="0" xfId="0" applyFont="1" applyFill="1" applyAlignment="1" applyProtection="1">
      <alignment horizontal="center" vertical="center" shrinkToFit="1" readingOrder="2"/>
      <protection hidden="1"/>
    </xf>
    <xf numFmtId="0" fontId="29" fillId="2" borderId="0" xfId="0" applyFont="1" applyFill="1" applyAlignment="1" applyProtection="1">
      <alignment horizontal="center" vertical="center" shrinkToFit="1" readingOrder="2"/>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11'!$AR$7" lockText="1" noThreeD="1"/>
</file>

<file path=xl/ctrlProps/ctrlProp2.xml><?xml version="1.0" encoding="utf-8"?>
<formControlPr xmlns="http://schemas.microsoft.com/office/spreadsheetml/2009/9/main" objectType="CheckBox" fmlaLink="'11'!$AR$6" lockText="1" noThreeD="1"/>
</file>

<file path=xl/ctrlProps/ctrlProp3.xml><?xml version="1.0" encoding="utf-8"?>
<formControlPr xmlns="http://schemas.microsoft.com/office/spreadsheetml/2009/9/main" objectType="Radio" checked="Checked" firstButton="1" fmlaLink="'11'!$AR$2"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11'!$AR$4" lockText="1" noThreeD="1"/>
</file>

<file path=xl/ctrlProps/ctrlProp6.xml><?xml version="1.0" encoding="utf-8"?>
<formControlPr xmlns="http://schemas.microsoft.com/office/spreadsheetml/2009/9/main" objectType="CheckBox" checked="Checked" fmlaLink="'11'!$AR$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170029</xdr:colOff>
      <xdr:row>8</xdr:row>
      <xdr:rowOff>112703</xdr:rowOff>
    </xdr:from>
    <xdr:to>
      <xdr:col>6</xdr:col>
      <xdr:colOff>1436852</xdr:colOff>
      <xdr:row>9</xdr:row>
      <xdr:rowOff>522275</xdr:rowOff>
    </xdr:to>
    <xdr:sp macro="" textlink="">
      <xdr:nvSpPr>
        <xdr:cNvPr id="7" name="Arrow: Chevron 6">
          <a:extLst>
            <a:ext uri="{FF2B5EF4-FFF2-40B4-BE49-F238E27FC236}">
              <a16:creationId xmlns:a16="http://schemas.microsoft.com/office/drawing/2014/main" id="{00000000-0008-0000-0000-000007000000}"/>
            </a:ext>
          </a:extLst>
        </xdr:cNvPr>
        <xdr:cNvSpPr/>
      </xdr:nvSpPr>
      <xdr:spPr>
        <a:xfrm rot="5400000">
          <a:off x="10605168685" y="751534"/>
          <a:ext cx="624888" cy="3894409"/>
        </a:xfrm>
        <a:prstGeom prst="chevron">
          <a:avLst/>
        </a:prstGeom>
      </xdr:spPr>
      <xdr:style>
        <a:lnRef idx="0">
          <a:schemeClr val="accent3"/>
        </a:lnRef>
        <a:fillRef idx="3">
          <a:schemeClr val="accent3"/>
        </a:fillRef>
        <a:effectRef idx="3">
          <a:schemeClr val="accent3"/>
        </a:effectRef>
        <a:fontRef idx="minor">
          <a:schemeClr val="lt1"/>
        </a:fontRef>
      </xdr:style>
      <xdr:txBody>
        <a:bodyPr vert="vert270" rtlCol="0" anchor="ctr"/>
        <a:lstStyle/>
        <a:p>
          <a:pPr algn="r" rtl="1"/>
          <a:endParaRPr lang="fa-IR"/>
        </a:p>
      </xdr:txBody>
    </xdr:sp>
    <xdr:clientData/>
  </xdr:twoCellAnchor>
  <xdr:twoCellAnchor>
    <xdr:from>
      <xdr:col>5</xdr:col>
      <xdr:colOff>123825</xdr:colOff>
      <xdr:row>9</xdr:row>
      <xdr:rowOff>123825</xdr:rowOff>
    </xdr:from>
    <xdr:to>
      <xdr:col>6</xdr:col>
      <xdr:colOff>285750</xdr:colOff>
      <xdr:row>9</xdr:row>
      <xdr:rowOff>447675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258816700" y="2609850"/>
          <a:ext cx="1714500"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600" b="1">
              <a:cs typeface="B Koodak" panose="00000700000000000000" pitchFamily="2" charset="-78"/>
            </a:rPr>
            <a:t>نتایج محاسبات</a:t>
          </a:r>
          <a:endParaRPr lang="en-US" sz="1600" b="1">
            <a:cs typeface="B Koodak"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absolute">
        <xdr:from>
          <xdr:col>1</xdr:col>
          <xdr:colOff>495300</xdr:colOff>
          <xdr:row>4</xdr:row>
          <xdr:rowOff>66675</xdr:rowOff>
        </xdr:from>
        <xdr:to>
          <xdr:col>2</xdr:col>
          <xdr:colOff>533400</xdr:colOff>
          <xdr:row>5</xdr:row>
          <xdr:rowOff>295275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FF" mc:Ignorable="a14" a14:legacySpreadsheetColorIndex="33"/>
                  </a:solidFill>
                  <a:miter lim="800000"/>
                  <a:headEnd/>
                  <a:tailEnd/>
                </a14:hiddenLine>
              </a:ext>
            </a:extLst>
          </xdr:spPr>
          <xdr:txBody>
            <a:bodyPr vertOverflow="clip" wrap="square" lIns="0" tIns="18288" rIns="27432" bIns="18288" anchor="ctr" upright="1"/>
            <a:lstStyle/>
            <a:p>
              <a:pPr algn="r" rtl="1">
                <a:defRPr sz="1000"/>
              </a:pPr>
              <a:r>
                <a:rPr lang="en-US" sz="800" b="0" i="0" u="none" strike="noStrike" baseline="0">
                  <a:solidFill>
                    <a:srgbClr val="000000"/>
                  </a:solidFill>
                  <a:latin typeface="Segoe UI"/>
                  <a:cs typeface="Segoe UI"/>
                </a:rPr>
                <a:t>بیش از دو سال یا 720 روز سابقه بیمه پردازی دارم.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504825</xdr:colOff>
          <xdr:row>3</xdr:row>
          <xdr:rowOff>19050</xdr:rowOff>
        </xdr:from>
        <xdr:to>
          <xdr:col>1</xdr:col>
          <xdr:colOff>2771775</xdr:colOff>
          <xdr:row>3</xdr:row>
          <xdr:rowOff>333375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FF" mc:Ignorable="a14" a14:legacySpreadsheetColorIndex="33"/>
                  </a:solidFill>
                  <a:miter lim="800000"/>
                  <a:headEnd/>
                  <a:tailEnd/>
                </a14:hiddenLine>
              </a:ext>
            </a:extLst>
          </xdr:spPr>
          <xdr:txBody>
            <a:bodyPr vertOverflow="clip" wrap="square" lIns="0" tIns="18288" rIns="27432" bIns="18288" anchor="ctr" upright="1"/>
            <a:lstStyle/>
            <a:p>
              <a:pPr algn="r" rtl="1">
                <a:defRPr sz="1000"/>
              </a:pPr>
              <a:r>
                <a:rPr lang="en-US" sz="800" b="0" i="0" u="none" strike="noStrike" baseline="0">
                  <a:solidFill>
                    <a:srgbClr val="000000"/>
                  </a:solidFill>
                  <a:latin typeface="Segoe UI"/>
                  <a:cs typeface="Segoe UI"/>
                </a:rPr>
                <a:t>بیش از یک سال در کارگاه فعلی سابقه کار دارم.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2573948</xdr:colOff>
          <xdr:row>12</xdr:row>
          <xdr:rowOff>9525</xdr:rowOff>
        </xdr:from>
        <xdr:to>
          <xdr:col>2</xdr:col>
          <xdr:colOff>649898</xdr:colOff>
          <xdr:row>12</xdr:row>
          <xdr:rowOff>257175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18288" rIns="27432" bIns="18288" anchor="ctr" upright="1"/>
            <a:lstStyle/>
            <a:p>
              <a:pPr algn="r" rtl="1">
                <a:defRPr sz="1000"/>
              </a:pPr>
              <a:r>
                <a:rPr lang="en-US" sz="800" b="0" i="0" u="none" strike="noStrike" baseline="0">
                  <a:solidFill>
                    <a:srgbClr val="000000"/>
                  </a:solidFill>
                  <a:latin typeface="Segoe UI"/>
                  <a:cs typeface="Segoe UI"/>
                </a:rPr>
                <a:t>سی روز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12</xdr:row>
          <xdr:rowOff>0</xdr:rowOff>
        </xdr:from>
        <xdr:to>
          <xdr:col>4</xdr:col>
          <xdr:colOff>438150</xdr:colOff>
          <xdr:row>12</xdr:row>
          <xdr:rowOff>247650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18288" rIns="27432" bIns="18288" anchor="ctr" upright="1"/>
            <a:lstStyle/>
            <a:p>
              <a:pPr algn="r" rtl="1">
                <a:defRPr sz="1000"/>
              </a:pPr>
              <a:r>
                <a:rPr lang="en-US" sz="800" b="0" i="0" u="none" strike="noStrike" baseline="0">
                  <a:solidFill>
                    <a:srgbClr val="000000"/>
                  </a:solidFill>
                  <a:latin typeface="Segoe UI"/>
                  <a:cs typeface="Segoe UI"/>
                </a:rPr>
                <a:t>سی و یک روز</a:t>
              </a:r>
            </a:p>
          </xdr:txBody>
        </xdr:sp>
        <xdr:clientData/>
      </xdr:twoCellAnchor>
    </mc:Choice>
    <mc:Fallback/>
  </mc:AlternateContent>
  <xdr:twoCellAnchor editAs="oneCell">
    <xdr:from>
      <xdr:col>1</xdr:col>
      <xdr:colOff>894436</xdr:colOff>
      <xdr:row>28</xdr:row>
      <xdr:rowOff>98428</xdr:rowOff>
    </xdr:from>
    <xdr:to>
      <xdr:col>1</xdr:col>
      <xdr:colOff>2055721</xdr:colOff>
      <xdr:row>31</xdr:row>
      <xdr:rowOff>191981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rot="19176750">
          <a:off x="9813500074" y="8402496"/>
          <a:ext cx="1161285" cy="1054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9525</xdr:colOff>
          <xdr:row>30</xdr:row>
          <xdr:rowOff>0</xdr:rowOff>
        </xdr:from>
        <xdr:to>
          <xdr:col>45</xdr:col>
          <xdr:colOff>1326047</xdr:colOff>
          <xdr:row>30</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18288" rIns="27432" bIns="18288" anchor="ctr" upright="1"/>
            <a:lstStyle/>
            <a:p>
              <a:pPr algn="r" rtl="1">
                <a:defRPr sz="1000"/>
              </a:pPr>
              <a:r>
                <a:rPr lang="en-US" sz="800" b="0" i="0" u="none" strike="noStrike" baseline="0">
                  <a:solidFill>
                    <a:srgbClr val="000000"/>
                  </a:solidFill>
                  <a:latin typeface="Segoe UI"/>
                  <a:cs typeface="Segoe UI"/>
                </a:rPr>
                <a:t>محاسبات بر مبنای ۳۱ روز کاری صورت پذیرد.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4</xdr:row>
          <xdr:rowOff>76200</xdr:rowOff>
        </xdr:from>
        <xdr:to>
          <xdr:col>13</xdr:col>
          <xdr:colOff>172278</xdr:colOff>
          <xdr:row>4</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18288" rIns="27432" bIns="18288" anchor="ctr" upright="1"/>
            <a:lstStyle/>
            <a:p>
              <a:pPr algn="r" rtl="1">
                <a:defRPr sz="1000"/>
              </a:pPr>
              <a:r>
                <a:rPr lang="en-US" sz="800" b="0" i="0" u="none" strike="noStrike" baseline="0">
                  <a:solidFill>
                    <a:srgbClr val="000000"/>
                  </a:solidFill>
                  <a:latin typeface="Segoe UI"/>
                  <a:cs typeface="Segoe UI"/>
                </a:rPr>
                <a:t>کمک هزینه مسکن  از تیرماه ۹۹ به ۳ میلیون ریال افزایش یابد</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cene3d>
          <a:camera prst="orthographicFront"/>
          <a:lightRig rig="flat" dir="t"/>
        </a:scene3d>
        <a:sp3d prstMaterial="dkEdge">
          <a:bevelT w="8200" h="38100"/>
        </a:sp3d>
      </a:spPr>
      <a:bodyPr/>
      <a:lstStyle/>
      <a:style>
        <a:lnRef idx="0">
          <a:schemeClr val="accent4"/>
        </a:lnRef>
        <a:fillRef idx="3">
          <a:schemeClr val="accent4"/>
        </a:fillRef>
        <a:effectRef idx="3">
          <a:schemeClr val="accent4"/>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omments" Target="../comments1.xml"/><Relationship Id="rId3" Type="http://schemas.openxmlformats.org/officeDocument/2006/relationships/hyperlink" Target="https://www.instagram.com/sayah.shahdi/"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s://www.instagram.com/sayah.shahdi/" TargetMode="External"/><Relationship Id="rId1" Type="http://schemas.openxmlformats.org/officeDocument/2006/relationships/hyperlink" Target="mailto:ZhowanMarket@gmail.com"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t.me/+eRSSofhaSpo4ZGNk" TargetMode="External"/><Relationship Id="rId10" Type="http://schemas.openxmlformats.org/officeDocument/2006/relationships/ctrlProp" Target="../ctrlProps/ctrlProp2.xml"/><Relationship Id="rId4" Type="http://schemas.openxmlformats.org/officeDocument/2006/relationships/hyperlink" Target="https://www.instagram.com/sayah.shahdi/" TargetMode="External"/><Relationship Id="rId9"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92D050"/>
    <pageSetUpPr fitToPage="1"/>
  </sheetPr>
  <dimension ref="B1:AQ718"/>
  <sheetViews>
    <sheetView showGridLines="0" showRowColHeaders="0" rightToLeft="1" tabSelected="1" zoomScaleNormal="100" workbookViewId="0"/>
  </sheetViews>
  <sheetFormatPr defaultColWidth="9" defaultRowHeight="18" x14ac:dyDescent="0.45"/>
  <cols>
    <col min="1" max="1" width="3.7109375" style="50" customWidth="1"/>
    <col min="2" max="2" width="42.7109375" style="63" customWidth="1"/>
    <col min="3" max="3" width="13.85546875" style="63" customWidth="1"/>
    <col min="4" max="4" width="3.140625" style="63" customWidth="1"/>
    <col min="5" max="5" width="14.85546875" style="63" customWidth="1"/>
    <col min="6" max="7" width="21.7109375" style="63" customWidth="1"/>
    <col min="8" max="8" width="5.140625" style="63" customWidth="1"/>
    <col min="9" max="9" width="15.7109375" style="63" customWidth="1"/>
    <col min="10" max="12" width="11.28515625" style="50" customWidth="1"/>
    <col min="13" max="13" width="14.85546875" style="50" customWidth="1"/>
    <col min="14" max="14" width="15.28515625" style="50" customWidth="1"/>
    <col min="15" max="15" width="19.140625" style="50" customWidth="1"/>
    <col min="16" max="21" width="59" style="50" customWidth="1"/>
    <col min="22" max="16384" width="9" style="50"/>
  </cols>
  <sheetData>
    <row r="1" spans="2:43" ht="34.5" customHeight="1" x14ac:dyDescent="0.25">
      <c r="B1" s="252" t="s">
        <v>174</v>
      </c>
      <c r="C1" s="252"/>
      <c r="D1" s="252"/>
      <c r="E1" s="252"/>
      <c r="F1" s="252"/>
      <c r="G1" s="252"/>
      <c r="H1" s="203"/>
      <c r="I1" s="203"/>
    </row>
    <row r="2" spans="2:43" ht="27" customHeight="1" x14ac:dyDescent="0.25">
      <c r="B2" s="253" t="s">
        <v>178</v>
      </c>
      <c r="C2" s="253"/>
      <c r="D2" s="253"/>
      <c r="E2" s="253"/>
      <c r="F2" s="253"/>
      <c r="G2" s="253"/>
      <c r="H2" s="204"/>
      <c r="I2" s="204"/>
    </row>
    <row r="3" spans="2:43" ht="27" customHeight="1" x14ac:dyDescent="0.25">
      <c r="B3" s="254" t="s">
        <v>154</v>
      </c>
      <c r="C3" s="254"/>
      <c r="D3" s="254"/>
      <c r="E3" s="254"/>
      <c r="F3" s="254"/>
      <c r="G3" s="254"/>
      <c r="H3" s="204"/>
      <c r="I3" s="50"/>
    </row>
    <row r="4" spans="2:43" ht="27" customHeight="1" x14ac:dyDescent="0.45">
      <c r="B4" s="262"/>
      <c r="C4" s="263"/>
      <c r="D4" s="205"/>
      <c r="E4" s="255" t="s">
        <v>127</v>
      </c>
      <c r="F4" s="255"/>
      <c r="G4" s="183">
        <v>0</v>
      </c>
      <c r="H4" s="204"/>
    </row>
    <row r="5" spans="2:43" ht="6" customHeight="1" x14ac:dyDescent="0.55000000000000004">
      <c r="B5" s="205"/>
      <c r="C5" s="205"/>
      <c r="D5" s="50"/>
      <c r="E5" s="50"/>
      <c r="F5" s="208"/>
      <c r="G5" s="208"/>
      <c r="H5" s="207"/>
      <c r="I5" s="50"/>
      <c r="J5" s="204"/>
      <c r="K5" s="204"/>
    </row>
    <row r="6" spans="2:43" ht="26.1" customHeight="1" x14ac:dyDescent="0.45">
      <c r="B6" s="262"/>
      <c r="C6" s="263"/>
      <c r="D6" s="50"/>
      <c r="E6" s="255" t="s">
        <v>171</v>
      </c>
      <c r="F6" s="255"/>
      <c r="G6" s="184">
        <v>0</v>
      </c>
      <c r="H6" s="207"/>
      <c r="J6" s="204"/>
      <c r="K6" s="204"/>
    </row>
    <row r="7" spans="2:43" ht="6" customHeight="1" x14ac:dyDescent="0.55000000000000004">
      <c r="B7" s="50"/>
      <c r="C7" s="50"/>
      <c r="D7" s="50"/>
      <c r="E7" s="50"/>
      <c r="F7" s="208"/>
      <c r="G7" s="208"/>
      <c r="H7" s="207"/>
      <c r="I7" s="50"/>
      <c r="J7" s="204"/>
      <c r="K7" s="204"/>
    </row>
    <row r="8" spans="2:43" ht="26.1" customHeight="1" x14ac:dyDescent="0.45">
      <c r="B8" s="222" t="s">
        <v>168</v>
      </c>
      <c r="C8" s="183" t="s">
        <v>163</v>
      </c>
      <c r="D8" s="50"/>
      <c r="E8" s="255" t="s">
        <v>170</v>
      </c>
      <c r="F8" s="255"/>
      <c r="G8" s="184">
        <v>0</v>
      </c>
      <c r="H8" s="207"/>
      <c r="J8" s="204"/>
      <c r="K8" s="204"/>
    </row>
    <row r="9" spans="2:43" ht="17.25" customHeight="1" x14ac:dyDescent="0.45">
      <c r="D9" s="50"/>
      <c r="E9" s="50"/>
      <c r="F9" s="50"/>
      <c r="G9" s="50"/>
      <c r="H9" s="207"/>
      <c r="I9" s="204"/>
    </row>
    <row r="10" spans="2:43" ht="42.75" customHeight="1" x14ac:dyDescent="0.45">
      <c r="B10" s="260" t="s">
        <v>166</v>
      </c>
      <c r="C10" s="261"/>
      <c r="D10" s="50"/>
      <c r="E10" s="50"/>
      <c r="F10" s="50"/>
      <c r="G10" s="50"/>
      <c r="H10" s="207"/>
      <c r="I10" s="204"/>
    </row>
    <row r="11" spans="2:43" ht="7.5" customHeight="1" x14ac:dyDescent="0.45">
      <c r="B11" s="50"/>
      <c r="C11" s="50"/>
      <c r="D11" s="50"/>
      <c r="E11" s="206"/>
      <c r="F11" s="50"/>
      <c r="G11" s="50"/>
      <c r="I11" s="204"/>
    </row>
    <row r="12" spans="2:43" ht="26.1" customHeight="1" x14ac:dyDescent="0.45">
      <c r="B12" s="256" t="s">
        <v>182</v>
      </c>
      <c r="C12" s="257"/>
      <c r="D12" s="257"/>
      <c r="E12" s="257"/>
      <c r="F12" s="264" t="s">
        <v>160</v>
      </c>
      <c r="G12" s="258" t="s">
        <v>169</v>
      </c>
      <c r="I12" s="204"/>
    </row>
    <row r="13" spans="2:43" ht="26.1" customHeight="1" x14ac:dyDescent="0.45">
      <c r="B13" s="212" t="s">
        <v>149</v>
      </c>
      <c r="C13" s="213"/>
      <c r="D13" s="213"/>
      <c r="E13" s="213"/>
      <c r="F13" s="264"/>
      <c r="G13" s="259"/>
      <c r="I13" s="204"/>
    </row>
    <row r="14" spans="2:43" ht="26.1" customHeight="1" x14ac:dyDescent="0.45">
      <c r="B14" s="238" t="s">
        <v>128</v>
      </c>
      <c r="C14" s="239"/>
      <c r="D14" s="240"/>
      <c r="E14" s="240"/>
      <c r="F14" s="197">
        <f>F23*'11'!AR3</f>
        <v>71661840</v>
      </c>
      <c r="G14" s="197">
        <f>'11'!AR3*'دستمزد 1404'!G23</f>
        <v>103909668</v>
      </c>
      <c r="I14" s="204"/>
      <c r="P14" s="204"/>
      <c r="Q14" s="204"/>
      <c r="R14" s="204"/>
      <c r="S14" s="204"/>
      <c r="T14" s="204"/>
      <c r="U14" s="204"/>
    </row>
    <row r="15" spans="2:43" ht="26.1" customHeight="1" x14ac:dyDescent="0.45">
      <c r="B15" s="232" t="s">
        <v>158</v>
      </c>
      <c r="C15" s="233"/>
      <c r="D15" s="234"/>
      <c r="E15" s="234"/>
      <c r="F15" s="215">
        <f>F24*'11'!AR3</f>
        <v>0</v>
      </c>
      <c r="G15" s="215">
        <f>G24*'11'!AR3</f>
        <v>0</v>
      </c>
      <c r="I15" s="50"/>
      <c r="P15" s="204"/>
      <c r="Q15" s="204"/>
      <c r="R15" s="204"/>
      <c r="S15" s="204"/>
      <c r="T15" s="204"/>
      <c r="U15" s="204"/>
      <c r="AQ15" s="50">
        <v>0</v>
      </c>
    </row>
    <row r="16" spans="2:43" ht="26.1" customHeight="1" x14ac:dyDescent="0.45">
      <c r="B16" s="268" t="s">
        <v>165</v>
      </c>
      <c r="C16" s="269"/>
      <c r="D16" s="269"/>
      <c r="E16" s="270"/>
      <c r="F16" s="197">
        <f>IF(C8='11'!D1,0,5000000)</f>
        <v>0</v>
      </c>
      <c r="G16" s="197">
        <f>IF(C8='11'!D1,0,5000000)</f>
        <v>0</v>
      </c>
      <c r="I16" s="50"/>
      <c r="P16" s="204"/>
      <c r="Q16" s="204"/>
      <c r="R16" s="204"/>
      <c r="S16" s="204"/>
      <c r="T16" s="204"/>
      <c r="U16" s="204"/>
    </row>
    <row r="17" spans="2:21" ht="26.1" customHeight="1" x14ac:dyDescent="0.45">
      <c r="B17" s="232" t="s">
        <v>134</v>
      </c>
      <c r="C17" s="233"/>
      <c r="D17" s="234"/>
      <c r="E17" s="234"/>
      <c r="F17" s="215">
        <f>IF('11'!AR7=TRUE,G4*7366184,0)</f>
        <v>0</v>
      </c>
      <c r="G17" s="215">
        <f>IF('11'!AR7=TRUE,10390968*G4,0)</f>
        <v>0</v>
      </c>
      <c r="I17" s="50"/>
      <c r="P17" s="204"/>
      <c r="Q17" s="204"/>
      <c r="R17" s="204"/>
      <c r="S17" s="204"/>
      <c r="T17" s="204"/>
      <c r="U17" s="204"/>
    </row>
    <row r="18" spans="2:21" ht="26.1" customHeight="1" x14ac:dyDescent="0.45">
      <c r="B18" s="268" t="s">
        <v>133</v>
      </c>
      <c r="C18" s="269"/>
      <c r="D18" s="269"/>
      <c r="E18" s="270"/>
      <c r="F18" s="197">
        <v>9000000</v>
      </c>
      <c r="G18" s="197">
        <v>9000000</v>
      </c>
      <c r="I18" s="50"/>
      <c r="P18" s="204"/>
      <c r="Q18" s="204"/>
      <c r="R18" s="204"/>
      <c r="S18" s="204"/>
      <c r="T18" s="204"/>
      <c r="U18" s="204"/>
    </row>
    <row r="19" spans="2:21" ht="26.1" customHeight="1" x14ac:dyDescent="0.45">
      <c r="B19" s="232" t="s">
        <v>135</v>
      </c>
      <c r="C19" s="233"/>
      <c r="D19" s="234"/>
      <c r="E19" s="234"/>
      <c r="F19" s="215">
        <v>14000000</v>
      </c>
      <c r="G19" s="215">
        <v>22000000</v>
      </c>
      <c r="I19" s="50"/>
      <c r="P19" s="204"/>
      <c r="Q19" s="204"/>
      <c r="R19" s="204"/>
      <c r="S19" s="204"/>
      <c r="T19" s="204"/>
      <c r="U19" s="204"/>
    </row>
    <row r="20" spans="2:21" ht="37.5" customHeight="1" x14ac:dyDescent="0.25">
      <c r="B20" s="243" t="s">
        <v>132</v>
      </c>
      <c r="C20" s="244"/>
      <c r="D20" s="245"/>
      <c r="E20" s="245"/>
      <c r="F20" s="214">
        <f>SUM(F14:F19)</f>
        <v>94661840</v>
      </c>
      <c r="G20" s="214">
        <f>SUM(G14:G19)</f>
        <v>134909668</v>
      </c>
      <c r="H20" s="50"/>
      <c r="I20" s="50"/>
      <c r="P20" s="204"/>
      <c r="Q20" s="204"/>
      <c r="R20" s="204"/>
      <c r="S20" s="204"/>
      <c r="T20" s="204"/>
      <c r="U20" s="204"/>
    </row>
    <row r="21" spans="2:21" ht="18" customHeight="1" x14ac:dyDescent="0.25">
      <c r="B21" s="50"/>
      <c r="C21" s="50"/>
      <c r="D21" s="50"/>
      <c r="E21" s="50"/>
      <c r="F21" s="50"/>
      <c r="G21" s="50"/>
      <c r="H21" s="50"/>
      <c r="I21" s="50"/>
      <c r="P21" s="204"/>
      <c r="Q21" s="204"/>
      <c r="R21" s="204"/>
      <c r="S21" s="204"/>
      <c r="T21" s="204"/>
      <c r="U21" s="204"/>
    </row>
    <row r="22" spans="2:21" ht="26.1" customHeight="1" x14ac:dyDescent="0.25">
      <c r="B22" s="241" t="s">
        <v>156</v>
      </c>
      <c r="C22" s="242"/>
      <c r="D22" s="242"/>
      <c r="E22" s="242"/>
      <c r="F22" s="219" t="s">
        <v>160</v>
      </c>
      <c r="G22" s="220" t="s">
        <v>169</v>
      </c>
      <c r="H22" s="50"/>
      <c r="I22" s="50"/>
      <c r="P22" s="204"/>
      <c r="Q22" s="204"/>
      <c r="R22" s="204"/>
      <c r="S22" s="204"/>
      <c r="T22" s="204"/>
      <c r="U22" s="204"/>
    </row>
    <row r="23" spans="2:21" ht="26.1" customHeight="1" x14ac:dyDescent="0.45">
      <c r="B23" s="229" t="s">
        <v>152</v>
      </c>
      <c r="C23" s="230"/>
      <c r="D23" s="231"/>
      <c r="E23" s="231"/>
      <c r="F23" s="202">
        <f>IF(C32='11'!C10,IF(G6&lt;2388728,2388728,G6),"!!!!!!!")</f>
        <v>2388728</v>
      </c>
      <c r="G23" s="202">
        <f>IF(B12='11'!C16,IF(B10='11'!C11,IF(F23&gt;'11'!AJ30,(F23+(F23*32%))+310536,'11'!AJ33),0),"#VALUE!")</f>
        <v>3463655.6</v>
      </c>
      <c r="I23" s="204"/>
      <c r="P23" s="204"/>
      <c r="Q23" s="204"/>
      <c r="R23" s="204"/>
      <c r="S23" s="204"/>
      <c r="T23" s="204"/>
      <c r="U23" s="204"/>
    </row>
    <row r="24" spans="2:21" ht="26.1" customHeight="1" x14ac:dyDescent="0.45">
      <c r="B24" s="265" t="s">
        <v>157</v>
      </c>
      <c r="C24" s="266"/>
      <c r="D24" s="267"/>
      <c r="E24" s="267"/>
      <c r="F24" s="216">
        <f>IF('11'!AR6=TRUE,'دستمزد 1404'!G8,0)</f>
        <v>0</v>
      </c>
      <c r="G24" s="216">
        <f>IF('11'!AR6=TRUE,(F24*1.32)+'11'!AJ32,0)</f>
        <v>0</v>
      </c>
      <c r="I24" s="204"/>
      <c r="P24" s="204"/>
      <c r="Q24" s="204"/>
      <c r="R24" s="204"/>
      <c r="S24" s="204"/>
      <c r="T24" s="204"/>
      <c r="U24" s="204"/>
    </row>
    <row r="25" spans="2:21" ht="26.1" customHeight="1" x14ac:dyDescent="0.25">
      <c r="B25" s="238" t="s">
        <v>172</v>
      </c>
      <c r="C25" s="239"/>
      <c r="D25" s="240"/>
      <c r="E25" s="240"/>
      <c r="F25" s="197" t="s">
        <v>147</v>
      </c>
      <c r="G25" s="197">
        <f>G20-F20</f>
        <v>40247828</v>
      </c>
      <c r="H25" s="50"/>
      <c r="I25" s="50"/>
      <c r="P25" s="204"/>
      <c r="Q25" s="204"/>
      <c r="R25" s="204"/>
      <c r="S25" s="204"/>
      <c r="T25" s="204"/>
      <c r="U25" s="204"/>
    </row>
    <row r="26" spans="2:21" ht="26.1" customHeight="1" x14ac:dyDescent="0.25">
      <c r="B26" s="249" t="s">
        <v>173</v>
      </c>
      <c r="C26" s="250"/>
      <c r="D26" s="251"/>
      <c r="E26" s="251"/>
      <c r="F26" s="217" t="s">
        <v>147</v>
      </c>
      <c r="G26" s="218">
        <f>IF(AND(C29='11'!C12,C30='11'!C13,C31='11'!C14),(G20-F20)/F20*100,0)</f>
        <v>42.517479060199967</v>
      </c>
      <c r="H26" s="50"/>
      <c r="I26" s="50"/>
      <c r="P26" s="204"/>
      <c r="Q26" s="204"/>
      <c r="R26" s="204"/>
      <c r="S26" s="204"/>
      <c r="T26" s="204"/>
      <c r="U26" s="204"/>
    </row>
    <row r="27" spans="2:21" ht="26.1" customHeight="1" x14ac:dyDescent="0.25">
      <c r="B27" s="235" t="s">
        <v>148</v>
      </c>
      <c r="C27" s="236"/>
      <c r="D27" s="237"/>
      <c r="E27" s="237"/>
      <c r="F27" s="198">
        <f>IF(B2='11'!C15,((F24+F23)/7.3333)*1.4,"#VALUE!")</f>
        <v>456031.9637816535</v>
      </c>
      <c r="G27" s="198">
        <f>((G24+G23)/7.3333)*1.4</f>
        <v>661246.34748339758</v>
      </c>
      <c r="H27" s="50"/>
      <c r="I27" s="204"/>
      <c r="P27" s="204"/>
      <c r="Q27" s="204"/>
      <c r="R27" s="204"/>
      <c r="S27" s="204"/>
      <c r="T27" s="204"/>
      <c r="U27" s="204"/>
    </row>
    <row r="28" spans="2:21" ht="24" customHeight="1" x14ac:dyDescent="0.25">
      <c r="B28" s="50"/>
      <c r="C28" s="50"/>
      <c r="D28" s="50"/>
      <c r="E28" s="50"/>
      <c r="F28" s="50"/>
      <c r="G28" s="50"/>
      <c r="H28" s="50"/>
      <c r="I28" s="204"/>
      <c r="J28" s="204"/>
      <c r="K28" s="204"/>
      <c r="L28" s="204"/>
      <c r="M28" s="204"/>
      <c r="N28" s="204"/>
      <c r="O28" s="204"/>
      <c r="P28" s="204"/>
      <c r="Q28" s="204"/>
      <c r="R28" s="204"/>
      <c r="S28" s="204"/>
      <c r="T28" s="204"/>
      <c r="U28" s="204"/>
    </row>
    <row r="29" spans="2:21" ht="26.1" customHeight="1" x14ac:dyDescent="0.25">
      <c r="B29" s="180"/>
      <c r="C29" s="246" t="s">
        <v>159</v>
      </c>
      <c r="D29" s="247"/>
      <c r="E29" s="247"/>
      <c r="F29" s="247"/>
      <c r="G29" s="248"/>
      <c r="H29" s="50"/>
      <c r="I29" s="204"/>
      <c r="J29" s="204"/>
      <c r="K29" s="204"/>
      <c r="L29" s="204"/>
      <c r="M29" s="204"/>
      <c r="N29" s="204"/>
      <c r="O29" s="204"/>
      <c r="P29" s="204"/>
      <c r="Q29" s="204"/>
      <c r="R29" s="204"/>
      <c r="S29" s="204"/>
      <c r="T29" s="204"/>
      <c r="U29" s="204"/>
    </row>
    <row r="30" spans="2:21" ht="26.1" customHeight="1" x14ac:dyDescent="0.25">
      <c r="B30" s="181"/>
      <c r="C30" s="223" t="s">
        <v>175</v>
      </c>
      <c r="D30" s="224"/>
      <c r="E30" s="224"/>
      <c r="F30" s="224"/>
      <c r="G30" s="225"/>
      <c r="H30" s="50"/>
      <c r="I30" s="204"/>
      <c r="J30" s="204"/>
      <c r="K30" s="204"/>
      <c r="L30" s="204"/>
      <c r="M30" s="204"/>
      <c r="N30" s="204"/>
      <c r="O30" s="204"/>
      <c r="P30" s="204"/>
      <c r="Q30" s="204"/>
      <c r="R30" s="204"/>
      <c r="S30" s="204"/>
      <c r="T30" s="204"/>
      <c r="U30" s="204"/>
    </row>
    <row r="31" spans="2:21" ht="26.1" customHeight="1" x14ac:dyDescent="0.25">
      <c r="B31" s="181"/>
      <c r="C31" s="223" t="s">
        <v>167</v>
      </c>
      <c r="D31" s="224"/>
      <c r="E31" s="224"/>
      <c r="F31" s="224"/>
      <c r="G31" s="225"/>
      <c r="H31" s="50"/>
      <c r="I31" s="204"/>
      <c r="J31" s="204"/>
      <c r="K31" s="204"/>
      <c r="L31" s="204"/>
      <c r="M31" s="204"/>
      <c r="N31" s="204"/>
      <c r="O31" s="204"/>
      <c r="P31" s="204"/>
      <c r="Q31" s="204"/>
      <c r="R31" s="204"/>
      <c r="S31" s="204"/>
      <c r="T31" s="204"/>
      <c r="U31" s="204"/>
    </row>
    <row r="32" spans="2:21" ht="26.1" customHeight="1" x14ac:dyDescent="0.25">
      <c r="B32" s="182"/>
      <c r="C32" s="226" t="s">
        <v>153</v>
      </c>
      <c r="D32" s="227"/>
      <c r="E32" s="227"/>
      <c r="F32" s="227"/>
      <c r="G32" s="228"/>
      <c r="H32" s="50"/>
      <c r="I32" s="204"/>
      <c r="J32" s="204"/>
      <c r="K32" s="204"/>
      <c r="L32" s="204"/>
      <c r="M32" s="204"/>
      <c r="N32" s="204"/>
      <c r="O32" s="204"/>
      <c r="P32" s="204"/>
      <c r="Q32" s="204"/>
      <c r="R32" s="204"/>
      <c r="S32" s="204"/>
      <c r="T32" s="204"/>
      <c r="U32" s="204"/>
    </row>
    <row r="33" spans="2:21" ht="26.1" customHeight="1" x14ac:dyDescent="0.25">
      <c r="B33" s="50"/>
      <c r="C33" s="50"/>
      <c r="D33" s="50"/>
      <c r="E33" s="50"/>
      <c r="F33" s="50"/>
      <c r="G33" s="50"/>
      <c r="H33" s="50"/>
      <c r="I33" s="204"/>
      <c r="J33" s="204"/>
      <c r="K33" s="204"/>
      <c r="L33" s="204"/>
      <c r="M33" s="204"/>
      <c r="N33" s="204"/>
      <c r="O33" s="204"/>
      <c r="P33" s="204"/>
      <c r="Q33" s="204"/>
      <c r="R33" s="204"/>
      <c r="S33" s="204"/>
      <c r="T33" s="204"/>
      <c r="U33" s="204"/>
    </row>
    <row r="34" spans="2:21" ht="26.1" customHeight="1" x14ac:dyDescent="0.25">
      <c r="B34" s="50"/>
      <c r="C34" s="50"/>
      <c r="D34" s="50"/>
      <c r="E34" s="50"/>
      <c r="F34" s="50"/>
      <c r="G34" s="50"/>
      <c r="H34" s="50"/>
      <c r="I34" s="50"/>
    </row>
    <row r="35" spans="2:21" ht="26.1" customHeight="1" x14ac:dyDescent="0.25">
      <c r="B35" s="50"/>
      <c r="C35" s="50"/>
      <c r="D35" s="50"/>
      <c r="E35" s="50"/>
      <c r="F35" s="50"/>
      <c r="G35" s="50"/>
      <c r="H35" s="50"/>
      <c r="I35" s="50"/>
    </row>
    <row r="36" spans="2:21" ht="26.1" customHeight="1" x14ac:dyDescent="0.25">
      <c r="B36" s="50"/>
      <c r="C36" s="50"/>
      <c r="D36" s="50"/>
      <c r="E36" s="50"/>
      <c r="F36" s="50"/>
      <c r="G36" s="50"/>
      <c r="H36" s="50"/>
      <c r="I36" s="50"/>
    </row>
    <row r="37" spans="2:21" ht="26.1" customHeight="1" x14ac:dyDescent="0.25">
      <c r="B37" s="50"/>
      <c r="C37" s="50"/>
      <c r="D37" s="50"/>
      <c r="E37" s="50"/>
      <c r="F37" s="50"/>
      <c r="G37" s="50"/>
      <c r="H37" s="50"/>
      <c r="I37" s="50"/>
    </row>
    <row r="38" spans="2:21" ht="26.1" customHeight="1" x14ac:dyDescent="0.25">
      <c r="B38" s="50"/>
      <c r="C38" s="50"/>
      <c r="D38" s="50"/>
      <c r="E38" s="50"/>
      <c r="F38" s="50"/>
      <c r="G38" s="50"/>
      <c r="H38" s="50"/>
      <c r="I38" s="50"/>
    </row>
    <row r="39" spans="2:21" ht="26.1" customHeight="1" x14ac:dyDescent="0.25">
      <c r="B39" s="50"/>
      <c r="C39" s="50"/>
      <c r="D39" s="50"/>
      <c r="E39" s="50"/>
      <c r="F39" s="50"/>
      <c r="G39" s="50"/>
      <c r="H39" s="50"/>
      <c r="I39" s="50"/>
    </row>
    <row r="40" spans="2:21" ht="26.1" customHeight="1" x14ac:dyDescent="0.25">
      <c r="B40" s="50"/>
      <c r="C40" s="50"/>
      <c r="D40" s="50"/>
      <c r="E40" s="50"/>
      <c r="F40" s="50"/>
      <c r="G40" s="50"/>
      <c r="H40" s="50"/>
      <c r="I40" s="50"/>
    </row>
    <row r="41" spans="2:21" ht="26.1" customHeight="1" x14ac:dyDescent="0.25">
      <c r="B41" s="50"/>
      <c r="C41" s="50"/>
      <c r="D41" s="50"/>
      <c r="E41" s="50"/>
      <c r="F41" s="50"/>
      <c r="G41" s="50"/>
      <c r="H41" s="50"/>
      <c r="I41" s="50"/>
    </row>
    <row r="42" spans="2:21" ht="26.1" customHeight="1" x14ac:dyDescent="0.25">
      <c r="B42" s="50"/>
      <c r="C42" s="50"/>
      <c r="D42" s="50"/>
      <c r="E42" s="50"/>
      <c r="F42" s="50"/>
      <c r="G42" s="50"/>
      <c r="H42" s="50"/>
      <c r="I42" s="50"/>
    </row>
    <row r="43" spans="2:21" ht="26.1" customHeight="1" x14ac:dyDescent="0.25">
      <c r="B43" s="50"/>
      <c r="C43" s="50"/>
      <c r="D43" s="50"/>
      <c r="E43" s="50"/>
      <c r="F43" s="50"/>
      <c r="G43" s="50"/>
      <c r="H43" s="50"/>
      <c r="I43" s="50"/>
    </row>
    <row r="44" spans="2:21" ht="26.1" customHeight="1" x14ac:dyDescent="0.25">
      <c r="B44" s="50"/>
      <c r="C44" s="50"/>
      <c r="D44" s="50"/>
      <c r="E44" s="50"/>
      <c r="F44" s="50"/>
      <c r="G44" s="50"/>
      <c r="H44" s="50"/>
      <c r="I44" s="50"/>
    </row>
    <row r="45" spans="2:21" ht="26.1" customHeight="1" x14ac:dyDescent="0.25">
      <c r="B45" s="50"/>
      <c r="C45" s="50"/>
      <c r="D45" s="50"/>
      <c r="E45" s="50"/>
      <c r="F45" s="50"/>
      <c r="G45" s="50"/>
      <c r="H45" s="50"/>
      <c r="I45" s="50"/>
    </row>
    <row r="46" spans="2:21" ht="26.1" customHeight="1" x14ac:dyDescent="0.25">
      <c r="B46" s="50"/>
      <c r="C46" s="50"/>
      <c r="D46" s="50"/>
      <c r="E46" s="50"/>
      <c r="F46" s="50"/>
      <c r="G46" s="50"/>
      <c r="H46" s="50"/>
      <c r="I46" s="50"/>
    </row>
    <row r="47" spans="2:21" ht="26.1" customHeight="1" x14ac:dyDescent="0.25">
      <c r="B47" s="50"/>
      <c r="C47" s="50"/>
      <c r="D47" s="50"/>
      <c r="E47" s="50"/>
      <c r="F47" s="50"/>
      <c r="G47" s="50"/>
      <c r="H47" s="50"/>
      <c r="I47" s="50"/>
    </row>
    <row r="48" spans="2:21" ht="26.1" customHeight="1" x14ac:dyDescent="0.25">
      <c r="B48" s="50"/>
      <c r="C48" s="50"/>
      <c r="D48" s="50"/>
      <c r="E48" s="50"/>
      <c r="F48" s="50"/>
      <c r="G48" s="50"/>
      <c r="H48" s="50"/>
      <c r="I48" s="50"/>
    </row>
    <row r="49" s="50" customFormat="1" ht="26.1" customHeight="1" x14ac:dyDescent="0.25"/>
    <row r="50" s="50" customFormat="1" ht="26.1" customHeight="1" x14ac:dyDescent="0.25"/>
    <row r="51" s="50" customFormat="1" ht="26.1" customHeight="1" x14ac:dyDescent="0.25"/>
    <row r="52" s="50" customFormat="1" ht="26.1" customHeight="1" x14ac:dyDescent="0.25"/>
    <row r="53" s="50" customFormat="1" ht="26.1" customHeight="1" x14ac:dyDescent="0.25"/>
    <row r="54" s="50" customFormat="1" ht="26.1" customHeight="1" x14ac:dyDescent="0.25"/>
    <row r="55" s="50" customFormat="1" ht="26.1" customHeight="1" x14ac:dyDescent="0.25"/>
    <row r="56" s="50" customFormat="1" ht="26.1" customHeight="1" x14ac:dyDescent="0.25"/>
    <row r="57" s="50" customFormat="1" ht="26.1" customHeight="1" x14ac:dyDescent="0.25"/>
    <row r="58" s="50" customFormat="1" ht="26.1" customHeight="1" x14ac:dyDescent="0.25"/>
    <row r="59" s="50" customFormat="1" ht="26.1" customHeight="1" x14ac:dyDescent="0.25"/>
    <row r="60" s="50" customFormat="1" ht="26.1" customHeight="1" x14ac:dyDescent="0.25"/>
    <row r="61" s="50" customFormat="1" ht="26.1" customHeight="1" x14ac:dyDescent="0.25"/>
    <row r="62" s="50" customFormat="1" ht="26.1" customHeight="1" x14ac:dyDescent="0.25"/>
    <row r="63" s="50" customFormat="1" ht="26.1" customHeight="1" x14ac:dyDescent="0.25"/>
    <row r="64" s="50" customFormat="1" ht="26.1" customHeight="1" x14ac:dyDescent="0.25"/>
    <row r="65" s="50" customFormat="1" ht="26.1" customHeight="1" x14ac:dyDescent="0.25"/>
    <row r="66" s="50" customFormat="1" ht="26.1" customHeight="1" x14ac:dyDescent="0.25"/>
    <row r="67" s="50" customFormat="1" ht="26.1" customHeight="1" x14ac:dyDescent="0.25"/>
    <row r="68" s="50" customFormat="1" ht="26.1" customHeight="1" x14ac:dyDescent="0.25"/>
    <row r="69" s="50" customFormat="1" ht="26.1" customHeight="1" x14ac:dyDescent="0.25"/>
    <row r="70" s="50" customFormat="1" ht="26.1" customHeight="1" x14ac:dyDescent="0.25"/>
    <row r="71" s="50" customFormat="1" ht="26.1" customHeight="1" x14ac:dyDescent="0.25"/>
    <row r="72" s="50" customFormat="1" ht="26.1" customHeight="1" x14ac:dyDescent="0.25"/>
    <row r="73" s="50" customFormat="1" ht="26.1" customHeight="1" x14ac:dyDescent="0.25"/>
    <row r="74" s="50" customFormat="1" ht="26.1" customHeight="1" x14ac:dyDescent="0.25"/>
    <row r="75" s="50" customFormat="1" ht="26.1" customHeight="1" x14ac:dyDescent="0.25"/>
    <row r="76" s="50" customFormat="1" ht="26.1" customHeight="1" x14ac:dyDescent="0.25"/>
    <row r="77" s="50" customFormat="1" ht="26.1" customHeight="1" x14ac:dyDescent="0.25"/>
    <row r="78" s="50" customFormat="1" ht="26.1" customHeight="1" x14ac:dyDescent="0.25"/>
    <row r="79" s="50" customFormat="1" ht="26.1" customHeight="1" x14ac:dyDescent="0.25"/>
    <row r="80" s="50" customFormat="1" ht="26.1" customHeight="1" x14ac:dyDescent="0.25"/>
    <row r="81" s="50" customFormat="1" ht="26.1" customHeight="1" x14ac:dyDescent="0.25"/>
    <row r="82" s="50" customFormat="1" ht="26.1" customHeight="1" x14ac:dyDescent="0.25"/>
    <row r="83" s="50" customFormat="1" ht="26.1" customHeight="1" x14ac:dyDescent="0.25"/>
    <row r="84" s="50" customFormat="1" ht="26.1" customHeight="1" x14ac:dyDescent="0.25"/>
    <row r="85" s="50" customFormat="1" ht="26.1" customHeight="1" x14ac:dyDescent="0.25"/>
    <row r="86" s="50" customFormat="1" ht="26.1" customHeight="1" x14ac:dyDescent="0.25"/>
    <row r="87" s="50" customFormat="1" ht="26.1" customHeight="1" x14ac:dyDescent="0.25"/>
    <row r="88" s="50" customFormat="1" ht="26.1" customHeight="1" x14ac:dyDescent="0.25"/>
    <row r="89" s="50" customFormat="1" ht="26.1" customHeight="1" x14ac:dyDescent="0.25"/>
    <row r="90" s="50" customFormat="1" ht="26.1" customHeight="1" x14ac:dyDescent="0.25"/>
    <row r="91" s="50" customFormat="1" ht="26.1" customHeight="1" x14ac:dyDescent="0.25"/>
    <row r="92" s="50" customFormat="1" ht="26.1" customHeight="1" x14ac:dyDescent="0.25"/>
    <row r="93" s="50" customFormat="1" ht="26.1" customHeight="1" x14ac:dyDescent="0.25"/>
    <row r="94" s="50" customFormat="1" ht="26.1" customHeight="1" x14ac:dyDescent="0.25"/>
    <row r="95" s="50" customFormat="1" ht="26.1" customHeight="1" x14ac:dyDescent="0.25"/>
    <row r="96" s="50" customFormat="1" ht="26.1" customHeight="1" x14ac:dyDescent="0.25"/>
    <row r="97" spans="2:9" ht="26.1" customHeight="1" x14ac:dyDescent="0.25">
      <c r="B97" s="50"/>
      <c r="C97" s="50"/>
      <c r="D97" s="50"/>
      <c r="E97" s="50"/>
      <c r="F97" s="50"/>
      <c r="G97" s="50"/>
      <c r="H97" s="50"/>
      <c r="I97" s="50"/>
    </row>
    <row r="98" spans="2:9" ht="26.1" customHeight="1" x14ac:dyDescent="0.25">
      <c r="B98" s="50"/>
      <c r="C98" s="50"/>
      <c r="D98" s="50"/>
      <c r="E98" s="50"/>
      <c r="F98" s="50"/>
      <c r="G98" s="50"/>
      <c r="H98" s="50"/>
      <c r="I98" s="50"/>
    </row>
    <row r="99" spans="2:9" ht="26.1" customHeight="1" x14ac:dyDescent="0.45"/>
    <row r="100" spans="2:9" ht="26.1" customHeight="1" x14ac:dyDescent="0.45"/>
    <row r="101" spans="2:9" ht="26.1" customHeight="1" x14ac:dyDescent="0.45"/>
    <row r="102" spans="2:9" ht="26.1" customHeight="1" x14ac:dyDescent="0.45"/>
    <row r="103" spans="2:9" ht="26.1" customHeight="1" x14ac:dyDescent="0.45"/>
    <row r="104" spans="2:9" ht="26.1" customHeight="1" x14ac:dyDescent="0.45"/>
    <row r="105" spans="2:9" ht="26.1" customHeight="1" x14ac:dyDescent="0.45"/>
    <row r="106" spans="2:9" ht="26.1" customHeight="1" x14ac:dyDescent="0.45"/>
    <row r="107" spans="2:9" ht="26.1" customHeight="1" x14ac:dyDescent="0.45"/>
    <row r="108" spans="2:9" ht="26.1" customHeight="1" x14ac:dyDescent="0.45"/>
    <row r="109" spans="2:9" ht="26.1" customHeight="1" x14ac:dyDescent="0.45"/>
    <row r="110" spans="2:9" ht="26.1" customHeight="1" x14ac:dyDescent="0.45"/>
    <row r="111" spans="2:9" ht="26.1" customHeight="1" x14ac:dyDescent="0.45"/>
    <row r="112" spans="2:9" ht="26.1" customHeight="1" x14ac:dyDescent="0.45"/>
    <row r="113" ht="26.1" customHeight="1" x14ac:dyDescent="0.45"/>
    <row r="114" ht="26.1" customHeight="1" x14ac:dyDescent="0.45"/>
    <row r="115" ht="26.1" customHeight="1" x14ac:dyDescent="0.45"/>
    <row r="116" ht="26.1" customHeight="1" x14ac:dyDescent="0.45"/>
    <row r="117" ht="26.1" customHeight="1" x14ac:dyDescent="0.45"/>
    <row r="118" ht="26.1" customHeight="1" x14ac:dyDescent="0.45"/>
    <row r="700" spans="2:9" ht="15" x14ac:dyDescent="0.25">
      <c r="B700" s="175"/>
      <c r="C700" s="175"/>
      <c r="D700" s="175"/>
      <c r="E700" s="175"/>
      <c r="F700" s="175"/>
      <c r="G700" s="175"/>
      <c r="H700" s="167"/>
      <c r="I700" s="167"/>
    </row>
    <row r="701" spans="2:9" x14ac:dyDescent="0.45">
      <c r="B701" s="176" t="s">
        <v>109</v>
      </c>
      <c r="C701" s="176"/>
      <c r="D701" s="176"/>
      <c r="E701" s="176"/>
      <c r="F701" s="176"/>
      <c r="G701" s="176"/>
      <c r="H701" s="177"/>
      <c r="I701" s="177"/>
    </row>
    <row r="702" spans="2:9" x14ac:dyDescent="0.45">
      <c r="B702" s="176" t="s">
        <v>103</v>
      </c>
      <c r="C702" s="176"/>
      <c r="D702" s="176"/>
      <c r="E702" s="176"/>
      <c r="F702" s="176"/>
      <c r="G702" s="176"/>
      <c r="H702" s="177"/>
      <c r="I702" s="177"/>
    </row>
    <row r="703" spans="2:9" x14ac:dyDescent="0.45">
      <c r="B703" s="176" t="s">
        <v>22</v>
      </c>
      <c r="C703" s="176"/>
      <c r="D703" s="176"/>
      <c r="E703" s="176"/>
      <c r="F703" s="176"/>
      <c r="G703" s="176"/>
      <c r="H703" s="177"/>
      <c r="I703" s="177"/>
    </row>
    <row r="704" spans="2:9" x14ac:dyDescent="0.45">
      <c r="B704" s="176" t="s">
        <v>121</v>
      </c>
      <c r="C704" s="176"/>
      <c r="D704" s="176"/>
      <c r="E704" s="176"/>
      <c r="F704" s="176"/>
      <c r="G704" s="176"/>
      <c r="H704" s="177"/>
      <c r="I704" s="177"/>
    </row>
    <row r="705" spans="2:9" x14ac:dyDescent="0.45">
      <c r="B705" s="176" t="s">
        <v>104</v>
      </c>
      <c r="C705" s="176"/>
      <c r="D705" s="176"/>
      <c r="E705" s="176"/>
      <c r="F705" s="176"/>
      <c r="G705" s="176"/>
      <c r="H705" s="177"/>
      <c r="I705" s="177"/>
    </row>
    <row r="706" spans="2:9" x14ac:dyDescent="0.45">
      <c r="B706" s="176" t="s">
        <v>115</v>
      </c>
      <c r="C706" s="176"/>
      <c r="D706" s="176"/>
      <c r="E706" s="176"/>
      <c r="F706" s="176"/>
      <c r="G706" s="176"/>
      <c r="H706" s="177"/>
      <c r="I706" s="177"/>
    </row>
    <row r="707" spans="2:9" x14ac:dyDescent="0.45">
      <c r="B707" s="176" t="s">
        <v>120</v>
      </c>
      <c r="C707" s="176"/>
      <c r="D707" s="176"/>
      <c r="E707" s="176"/>
      <c r="F707" s="176"/>
      <c r="G707" s="176"/>
      <c r="H707" s="177"/>
      <c r="I707" s="177"/>
    </row>
    <row r="708" spans="2:9" x14ac:dyDescent="0.45">
      <c r="B708" s="176" t="s">
        <v>116</v>
      </c>
      <c r="C708" s="176"/>
      <c r="D708" s="176"/>
      <c r="E708" s="176"/>
      <c r="F708" s="176"/>
      <c r="G708" s="176"/>
      <c r="H708" s="177"/>
      <c r="I708" s="177"/>
    </row>
    <row r="709" spans="2:9" x14ac:dyDescent="0.45">
      <c r="B709" s="176" t="s">
        <v>123</v>
      </c>
      <c r="C709" s="176"/>
      <c r="D709" s="176"/>
      <c r="E709" s="176"/>
      <c r="F709" s="176"/>
      <c r="G709" s="176"/>
      <c r="H709" s="177"/>
      <c r="I709" s="177"/>
    </row>
    <row r="710" spans="2:9" x14ac:dyDescent="0.45">
      <c r="B710" s="176" t="s">
        <v>111</v>
      </c>
      <c r="C710" s="176"/>
      <c r="D710" s="176"/>
      <c r="E710" s="176"/>
      <c r="F710" s="176"/>
      <c r="G710" s="176"/>
      <c r="H710" s="177"/>
      <c r="I710" s="177"/>
    </row>
    <row r="711" spans="2:9" x14ac:dyDescent="0.45">
      <c r="B711" s="176" t="s">
        <v>110</v>
      </c>
      <c r="C711" s="176"/>
      <c r="D711" s="176"/>
      <c r="E711" s="176"/>
      <c r="F711" s="176"/>
      <c r="G711" s="176"/>
      <c r="H711" s="177"/>
      <c r="I711" s="177"/>
    </row>
    <row r="712" spans="2:9" x14ac:dyDescent="0.45">
      <c r="B712" s="176" t="s">
        <v>126</v>
      </c>
      <c r="C712" s="176"/>
      <c r="D712" s="176"/>
      <c r="E712" s="176"/>
      <c r="F712" s="176"/>
      <c r="G712" s="176"/>
      <c r="H712" s="177"/>
      <c r="I712" s="177"/>
    </row>
    <row r="713" spans="2:9" x14ac:dyDescent="0.45">
      <c r="B713" s="176" t="s">
        <v>125</v>
      </c>
      <c r="C713" s="176"/>
      <c r="D713" s="176"/>
      <c r="E713" s="176"/>
      <c r="F713" s="176"/>
      <c r="G713" s="176"/>
      <c r="H713" s="177"/>
      <c r="I713" s="177"/>
    </row>
    <row r="714" spans="2:9" x14ac:dyDescent="0.45">
      <c r="B714" s="176" t="s">
        <v>75</v>
      </c>
      <c r="C714" s="176"/>
      <c r="D714" s="176"/>
      <c r="E714" s="176"/>
      <c r="F714" s="176"/>
      <c r="G714" s="176"/>
      <c r="H714" s="177"/>
      <c r="I714" s="177"/>
    </row>
    <row r="715" spans="2:9" x14ac:dyDescent="0.45">
      <c r="B715" s="176" t="s">
        <v>76</v>
      </c>
      <c r="C715" s="176"/>
      <c r="D715" s="176"/>
      <c r="E715" s="176"/>
      <c r="F715" s="176"/>
      <c r="G715" s="176"/>
      <c r="H715" s="177"/>
      <c r="I715" s="177"/>
    </row>
    <row r="716" spans="2:9" x14ac:dyDescent="0.45">
      <c r="B716" s="176" t="s">
        <v>63</v>
      </c>
      <c r="C716" s="176"/>
      <c r="D716" s="176"/>
      <c r="E716" s="176"/>
      <c r="F716" s="176"/>
      <c r="G716" s="176"/>
      <c r="H716" s="177"/>
      <c r="I716" s="177"/>
    </row>
    <row r="717" spans="2:9" x14ac:dyDescent="0.45">
      <c r="B717" s="176" t="s">
        <v>64</v>
      </c>
      <c r="C717" s="176"/>
      <c r="D717" s="176"/>
      <c r="E717" s="176"/>
      <c r="F717" s="176"/>
      <c r="G717" s="176"/>
      <c r="H717" s="177"/>
      <c r="I717" s="177"/>
    </row>
    <row r="718" spans="2:9" x14ac:dyDescent="0.45">
      <c r="B718" s="177"/>
      <c r="C718" s="177"/>
      <c r="D718" s="177"/>
      <c r="E718" s="177"/>
      <c r="F718" s="177"/>
      <c r="G718" s="177"/>
      <c r="H718" s="177"/>
      <c r="I718" s="177"/>
    </row>
  </sheetData>
  <sheetProtection algorithmName="SHA-512" hashValue="FKffVmI1ccHcukR9loeSy+Gw6B+HaiI31Pr6/Xj+iwkJ4RLwagxW7d7gLuGiMTTB2twdu/IvkP5XoAhfSx0gcg==" saltValue="fF17iGljYf0uh7yOXwWDpw==" spinCount="100000" sheet="1" objects="1" scenarios="1"/>
  <mergeCells count="29">
    <mergeCell ref="B14:E14"/>
    <mergeCell ref="B15:E15"/>
    <mergeCell ref="B17:E17"/>
    <mergeCell ref="B18:E18"/>
    <mergeCell ref="B16:E16"/>
    <mergeCell ref="B1:G1"/>
    <mergeCell ref="B2:G2"/>
    <mergeCell ref="B3:G3"/>
    <mergeCell ref="E4:F4"/>
    <mergeCell ref="B12:E12"/>
    <mergeCell ref="G12:G13"/>
    <mergeCell ref="B10:C10"/>
    <mergeCell ref="B4:C4"/>
    <mergeCell ref="B6:C6"/>
    <mergeCell ref="F12:F13"/>
    <mergeCell ref="E6:F6"/>
    <mergeCell ref="E8:F8"/>
    <mergeCell ref="C30:G30"/>
    <mergeCell ref="C31:G31"/>
    <mergeCell ref="C32:G32"/>
    <mergeCell ref="B23:E23"/>
    <mergeCell ref="B19:E19"/>
    <mergeCell ref="B27:E27"/>
    <mergeCell ref="B25:E25"/>
    <mergeCell ref="B22:E22"/>
    <mergeCell ref="B20:E20"/>
    <mergeCell ref="C29:G29"/>
    <mergeCell ref="B26:E26"/>
    <mergeCell ref="B24:E24"/>
  </mergeCells>
  <dataValidations xWindow="659" yWindow="315" count="4">
    <dataValidation type="whole" allowBlank="1" showInputMessage="1" showErrorMessage="1" errorTitle="توجه" error="در ورود اطلاعات دقت نمایید_x000a_عدد مربوط به مبلغ ریالی حق اولاد را مطابق با آخرین حکم کارگزینی وارد نمایید" sqref="C11:D11" xr:uid="{00000000-0002-0000-0000-000000000000}">
      <formula1>0</formula1>
      <formula2>10000000</formula2>
    </dataValidation>
    <dataValidation type="whole" allowBlank="1" showInputMessage="1" showErrorMessage="1" errorTitle="اخطار" error="عددی از صفر (۰) تا ده (۱۰) وارد نمایید" sqref="G7 G5" xr:uid="{00000000-0002-0000-0000-000001000000}">
      <formula1>0</formula1>
      <formula2>10</formula2>
    </dataValidation>
    <dataValidation type="whole" allowBlank="1" showInputMessage="1" showErrorMessage="1" errorTitle="اخطار" error="حداقل مزد را بر مبنای روز وارد نمایید" prompt="در صورت عدم ثبت حقوق روزانه سال 1402_x000a_ و یا ثبت رقم کمتر از حداقل دستمزد روزانه، محاسبات بر اساس حداقل دستمزد سال 1402 صورت می پذیرد" sqref="G6" xr:uid="{00000000-0002-0000-0000-000002000000}">
      <formula1>0</formula1>
      <formula2>80000000</formula2>
    </dataValidation>
    <dataValidation type="whole" allowBlank="1" showInputMessage="1" showErrorMessage="1" errorTitle="اخطار" error="عددی از صفر (۰) تا بیست میلیون ریال (۲۰۰۰۰۰۰۰) وارد نمایید" sqref="G8" xr:uid="{00000000-0002-0000-0000-000003000000}">
      <formula1>0</formula1>
      <formula2>20000000</formula2>
    </dataValidation>
  </dataValidations>
  <hyperlinks>
    <hyperlink ref="C31" r:id="rId1" display="ZhowanMarket@gmail.com" xr:uid="{00000000-0004-0000-0000-000000000000}"/>
    <hyperlink ref="C32" r:id="rId2" display="https://www.instagram.com/sayah.shahdi/" xr:uid="{00000000-0004-0000-0000-000002000000}"/>
    <hyperlink ref="B2:G2" r:id="rId3" display="تهیه و تنظیم : صیاح الدین شهدی          کارشناس امور اداری و کارگزینی" xr:uid="{00000000-0004-0000-0000-000004000000}"/>
    <hyperlink ref="B10:C10" r:id="rId4" display="دنبال کردن مجله کارگزینی در اینستاگرام" xr:uid="{4626E731-6155-4ED2-917B-AA7B0AD139F5}"/>
    <hyperlink ref="C31:G31" r:id="rId5" display="کانال تلگرام مجله کارگزینی (کلیک کنید)" xr:uid="{A1F2CFCA-0DC4-48F4-AD67-A2CA96588065}"/>
  </hyperlinks>
  <printOptions horizontalCentered="1"/>
  <pageMargins left="0.11811023622047245" right="0.11811023622047245" top="0.15748031496062992" bottom="0.19685039370078741" header="0.11811023622047245" footer="0.11811023622047245"/>
  <pageSetup paperSize="9" scale="86"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040" r:id="rId9" name="Check Box 16">
              <controlPr defaultSize="0" autoFill="0" autoLine="0" autoPict="0">
                <anchor>
                  <from>
                    <xdr:col>1</xdr:col>
                    <xdr:colOff>495300</xdr:colOff>
                    <xdr:row>4</xdr:row>
                    <xdr:rowOff>66675</xdr:rowOff>
                  </from>
                  <to>
                    <xdr:col>2</xdr:col>
                    <xdr:colOff>533400</xdr:colOff>
                    <xdr:row>5</xdr:row>
                    <xdr:rowOff>295275</xdr:rowOff>
                  </to>
                </anchor>
              </controlPr>
            </control>
          </mc:Choice>
        </mc:AlternateContent>
        <mc:AlternateContent xmlns:mc="http://schemas.openxmlformats.org/markup-compatibility/2006">
          <mc:Choice Requires="x14">
            <control shapeId="1039" r:id="rId10" name="Check Box 15">
              <controlPr defaultSize="0" autoFill="0" autoLine="0" autoPict="0">
                <anchor>
                  <from>
                    <xdr:col>1</xdr:col>
                    <xdr:colOff>504825</xdr:colOff>
                    <xdr:row>3</xdr:row>
                    <xdr:rowOff>19050</xdr:rowOff>
                  </from>
                  <to>
                    <xdr:col>1</xdr:col>
                    <xdr:colOff>2771775</xdr:colOff>
                    <xdr:row>3</xdr:row>
                    <xdr:rowOff>333375</xdr:rowOff>
                  </to>
                </anchor>
              </controlPr>
            </control>
          </mc:Choice>
        </mc:AlternateContent>
        <mc:AlternateContent xmlns:mc="http://schemas.openxmlformats.org/markup-compatibility/2006">
          <mc:Choice Requires="x14">
            <control shapeId="1045" r:id="rId11" name="Option Button 21">
              <controlPr defaultSize="0" autoFill="0" autoLine="0" autoPict="0">
                <anchor moveWithCells="1">
                  <from>
                    <xdr:col>1</xdr:col>
                    <xdr:colOff>2571750</xdr:colOff>
                    <xdr:row>12</xdr:row>
                    <xdr:rowOff>9525</xdr:rowOff>
                  </from>
                  <to>
                    <xdr:col>2</xdr:col>
                    <xdr:colOff>647700</xdr:colOff>
                    <xdr:row>12</xdr:row>
                    <xdr:rowOff>257175</xdr:rowOff>
                  </to>
                </anchor>
              </controlPr>
            </control>
          </mc:Choice>
        </mc:AlternateContent>
        <mc:AlternateContent xmlns:mc="http://schemas.openxmlformats.org/markup-compatibility/2006">
          <mc:Choice Requires="x14">
            <control shapeId="1046" r:id="rId12" name="Option Button 22">
              <controlPr defaultSize="0" autoFill="0" autoLine="0" autoPict="0">
                <anchor moveWithCells="1">
                  <from>
                    <xdr:col>2</xdr:col>
                    <xdr:colOff>742950</xdr:colOff>
                    <xdr:row>12</xdr:row>
                    <xdr:rowOff>0</xdr:rowOff>
                  </from>
                  <to>
                    <xdr:col>4</xdr:col>
                    <xdr:colOff>438150</xdr:colOff>
                    <xdr:row>12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59" yWindow="315" count="2">
        <x14:dataValidation type="list" allowBlank="1" showInputMessage="1" showErrorMessage="1" errorTitle="اخطار" error="عددی از صفر (۰) تا ده (۱۰) وارد نمایید" xr:uid="{00000000-0002-0000-0000-000004000000}">
          <x14:formula1>
            <xm:f>'11'!$J$3:$J$13</xm:f>
          </x14:formula1>
          <xm:sqref>G4 J3</xm:sqref>
        </x14:dataValidation>
        <x14:dataValidation type="list" allowBlank="1" showInputMessage="1" showErrorMessage="1" errorTitle="اخطار" error="عددی از صفر (۰) تا ده (۱۰) وارد نمایید" xr:uid="{A65D44ED-537D-4255-8EDB-031E2152AC45}">
          <x14:formula1>
            <xm:f>'11'!$D$1:$D$2</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tint="-0.499984740745262"/>
    <pageSetUpPr fitToPage="1"/>
  </sheetPr>
  <dimension ref="A1:BB118"/>
  <sheetViews>
    <sheetView rightToLeft="1" zoomScale="115" zoomScaleNormal="115" workbookViewId="0">
      <selection activeCell="AP7" sqref="AP7"/>
    </sheetView>
  </sheetViews>
  <sheetFormatPr defaultColWidth="9" defaultRowHeight="15" x14ac:dyDescent="0.25"/>
  <cols>
    <col min="1" max="1" width="4.28515625" style="50" customWidth="1"/>
    <col min="2" max="2" width="18.7109375" style="50" hidden="1" customWidth="1"/>
    <col min="3" max="3" width="53.85546875" style="50" hidden="1" customWidth="1"/>
    <col min="4" max="7" width="15.7109375" style="50" hidden="1" customWidth="1"/>
    <col min="8" max="8" width="10.85546875" style="50" hidden="1" customWidth="1"/>
    <col min="9" max="9" width="14.7109375" style="50" hidden="1" customWidth="1"/>
    <col min="10" max="10" width="10" style="50" customWidth="1"/>
    <col min="11" max="25" width="9" style="50"/>
    <col min="26" max="27" width="9.85546875" style="50" bestFit="1" customWidth="1"/>
    <col min="28" max="31" width="9" style="50"/>
    <col min="32" max="33" width="12.140625" style="50" customWidth="1"/>
    <col min="34" max="34" width="9" style="50"/>
    <col min="35" max="35" width="0" style="50" hidden="1" customWidth="1"/>
    <col min="36" max="36" width="11.85546875" style="50" hidden="1" customWidth="1"/>
    <col min="37" max="37" width="11.140625" style="50" hidden="1" customWidth="1"/>
    <col min="38" max="38" width="11.85546875" style="50" hidden="1" customWidth="1"/>
    <col min="39" max="39" width="0" style="50" hidden="1" customWidth="1"/>
    <col min="40" max="40" width="12" style="50" hidden="1" customWidth="1"/>
    <col min="41" max="41" width="9.28515625" style="50" hidden="1" customWidth="1"/>
    <col min="42" max="42" width="9" style="50"/>
    <col min="43" max="43" width="14" style="50" hidden="1" customWidth="1"/>
    <col min="44" max="44" width="11.7109375" style="50" hidden="1" customWidth="1"/>
    <col min="45" max="45" width="0" style="50" hidden="1" customWidth="1"/>
    <col min="46" max="46" width="99.85546875" style="50" customWidth="1"/>
    <col min="47" max="16384" width="9" style="50"/>
  </cols>
  <sheetData>
    <row r="1" spans="1:44" ht="26.25" customHeight="1" x14ac:dyDescent="0.25">
      <c r="A1" s="49"/>
      <c r="D1" s="50" t="s">
        <v>163</v>
      </c>
      <c r="H1" s="49"/>
      <c r="I1" s="49"/>
      <c r="J1" s="49"/>
      <c r="L1" s="167"/>
      <c r="M1" s="167"/>
      <c r="N1" s="167" t="s">
        <v>43</v>
      </c>
      <c r="O1" s="167"/>
      <c r="P1" s="167"/>
      <c r="Y1" s="50" t="s">
        <v>137</v>
      </c>
      <c r="Z1" s="50" t="s">
        <v>130</v>
      </c>
      <c r="AD1" s="50" t="s">
        <v>136</v>
      </c>
      <c r="AE1" s="50" t="s">
        <v>130</v>
      </c>
    </row>
    <row r="2" spans="1:44" ht="43.5" customHeight="1" x14ac:dyDescent="0.25">
      <c r="A2" s="49"/>
      <c r="D2" s="50" t="s">
        <v>164</v>
      </c>
      <c r="H2" s="49"/>
      <c r="I2" s="49">
        <v>8</v>
      </c>
      <c r="J2" s="191">
        <v>0</v>
      </c>
      <c r="K2" s="191">
        <v>0</v>
      </c>
      <c r="L2" s="191">
        <v>1</v>
      </c>
      <c r="M2" s="191">
        <v>2</v>
      </c>
      <c r="N2" s="191">
        <v>3</v>
      </c>
      <c r="O2" s="191">
        <v>4</v>
      </c>
      <c r="P2" s="191">
        <v>5</v>
      </c>
      <c r="Q2" s="191">
        <v>6</v>
      </c>
      <c r="R2" s="191">
        <v>7</v>
      </c>
      <c r="S2" s="191">
        <v>8</v>
      </c>
      <c r="T2" s="191">
        <v>9</v>
      </c>
      <c r="U2" s="191">
        <v>10</v>
      </c>
      <c r="V2" s="191">
        <v>11</v>
      </c>
      <c r="X2" s="192">
        <v>1</v>
      </c>
      <c r="AA2" s="187">
        <f>VLOOKUP(X2,X4:AA23,4,0)</f>
        <v>1000000</v>
      </c>
      <c r="AD2" s="192">
        <v>1</v>
      </c>
      <c r="AE2" s="187">
        <f>VLOOKUP(AD2,AD4:AF23,2,0)</f>
        <v>636809</v>
      </c>
      <c r="AF2" s="187">
        <f>VLOOKUP(AD2,AD4:AF23,3,0)</f>
        <v>19104270</v>
      </c>
      <c r="AG2" s="190"/>
      <c r="AI2" s="276" t="s">
        <v>140</v>
      </c>
      <c r="AJ2" s="274" t="s">
        <v>138</v>
      </c>
      <c r="AK2" s="275"/>
      <c r="AL2" s="274" t="s">
        <v>139</v>
      </c>
      <c r="AM2" s="275"/>
      <c r="AN2" s="274" t="s">
        <v>131</v>
      </c>
      <c r="AO2" s="275"/>
      <c r="AR2" s="50">
        <v>1</v>
      </c>
    </row>
    <row r="3" spans="1:44" ht="25.5" customHeight="1" x14ac:dyDescent="0.25">
      <c r="A3" s="49"/>
      <c r="B3" s="271" t="s">
        <v>150</v>
      </c>
      <c r="C3" s="272"/>
      <c r="D3" s="183">
        <v>1</v>
      </c>
      <c r="H3" s="49"/>
      <c r="I3" s="49">
        <v>4</v>
      </c>
      <c r="J3" s="192">
        <v>0</v>
      </c>
      <c r="K3" s="187">
        <v>0</v>
      </c>
      <c r="L3" s="187">
        <v>2778</v>
      </c>
      <c r="M3" s="187">
        <v>5556</v>
      </c>
      <c r="N3" s="187">
        <v>8333</v>
      </c>
      <c r="O3" s="187">
        <v>11111</v>
      </c>
      <c r="P3" s="187">
        <v>13889</v>
      </c>
      <c r="Q3" s="187">
        <v>16667</v>
      </c>
      <c r="R3" s="187">
        <v>19444</v>
      </c>
      <c r="S3" s="187">
        <v>22222</v>
      </c>
      <c r="T3" s="187">
        <v>25000</v>
      </c>
      <c r="U3" s="187">
        <v>27778</v>
      </c>
      <c r="V3" s="188">
        <v>30555</v>
      </c>
      <c r="AI3" s="277"/>
      <c r="AJ3" s="194" t="s">
        <v>141</v>
      </c>
      <c r="AK3" s="194" t="s">
        <v>142</v>
      </c>
      <c r="AL3" s="194" t="s">
        <v>141</v>
      </c>
      <c r="AM3" s="194" t="s">
        <v>142</v>
      </c>
      <c r="AN3" s="194" t="s">
        <v>141</v>
      </c>
      <c r="AO3" s="194" t="s">
        <v>142</v>
      </c>
      <c r="AQ3" s="179"/>
      <c r="AR3" s="196">
        <f>IF(AR2=1,30,31)</f>
        <v>30</v>
      </c>
    </row>
    <row r="4" spans="1:44" ht="21" x14ac:dyDescent="0.25">
      <c r="A4" s="49"/>
      <c r="H4" s="49"/>
      <c r="I4" s="49">
        <f>VLOOKUP(I2,J2:V33,I3+2,0)</f>
        <v>161149</v>
      </c>
      <c r="J4" s="192">
        <v>1</v>
      </c>
      <c r="K4" s="187">
        <v>33333</v>
      </c>
      <c r="L4" s="187">
        <v>35569</v>
      </c>
      <c r="M4" s="187">
        <v>37805</v>
      </c>
      <c r="N4" s="187">
        <v>40041</v>
      </c>
      <c r="O4" s="187">
        <v>42278</v>
      </c>
      <c r="P4" s="187">
        <v>44513</v>
      </c>
      <c r="Q4" s="187">
        <v>46750</v>
      </c>
      <c r="R4" s="187">
        <v>48986</v>
      </c>
      <c r="S4" s="187">
        <v>51221</v>
      </c>
      <c r="T4" s="187">
        <v>53458</v>
      </c>
      <c r="U4" s="187">
        <v>55694</v>
      </c>
      <c r="V4" s="188">
        <v>57930</v>
      </c>
      <c r="X4" s="192">
        <v>1</v>
      </c>
      <c r="Y4" s="187">
        <v>33333</v>
      </c>
      <c r="Z4" s="187">
        <f>Y4*30</f>
        <v>999990</v>
      </c>
      <c r="AA4" s="187">
        <f>Z4+10</f>
        <v>1000000</v>
      </c>
      <c r="AD4" s="192">
        <v>1</v>
      </c>
      <c r="AE4" s="187">
        <v>636809</v>
      </c>
      <c r="AF4" s="187">
        <f>AE4*30</f>
        <v>19104270</v>
      </c>
      <c r="AG4" s="190"/>
      <c r="AI4" s="192">
        <v>1</v>
      </c>
      <c r="AJ4" s="187">
        <v>58333</v>
      </c>
      <c r="AK4" s="187">
        <v>611809</v>
      </c>
      <c r="AL4" s="187">
        <v>33333</v>
      </c>
      <c r="AM4" s="187">
        <v>636809</v>
      </c>
      <c r="AN4" s="187">
        <v>23333</v>
      </c>
      <c r="AO4" s="187">
        <v>505627</v>
      </c>
      <c r="AQ4" s="179" t="s">
        <v>143</v>
      </c>
      <c r="AR4" s="179" t="b">
        <v>0</v>
      </c>
    </row>
    <row r="5" spans="1:44" ht="21" x14ac:dyDescent="0.25">
      <c r="A5" s="49"/>
      <c r="B5" s="262"/>
      <c r="C5" s="263"/>
      <c r="H5" s="49"/>
      <c r="I5" s="49"/>
      <c r="J5" s="192">
        <v>2</v>
      </c>
      <c r="K5" s="187">
        <v>60166</v>
      </c>
      <c r="L5" s="187">
        <v>62007</v>
      </c>
      <c r="M5" s="187">
        <v>63847</v>
      </c>
      <c r="N5" s="187">
        <v>65689</v>
      </c>
      <c r="O5" s="187">
        <v>67531</v>
      </c>
      <c r="P5" s="187">
        <v>69371</v>
      </c>
      <c r="Q5" s="187">
        <v>71212</v>
      </c>
      <c r="R5" s="187">
        <v>73053</v>
      </c>
      <c r="S5" s="187">
        <v>74893</v>
      </c>
      <c r="T5" s="187">
        <v>76735</v>
      </c>
      <c r="U5" s="187">
        <v>78576</v>
      </c>
      <c r="V5" s="188">
        <v>80416</v>
      </c>
      <c r="X5" s="192">
        <v>2</v>
      </c>
      <c r="Y5" s="187">
        <v>33533</v>
      </c>
      <c r="Z5" s="187">
        <f>Y5*30</f>
        <v>1005990</v>
      </c>
      <c r="AA5" s="187">
        <f t="shared" ref="AA5:AA23" si="0">Z5+10</f>
        <v>1006000</v>
      </c>
      <c r="AD5" s="192">
        <v>2</v>
      </c>
      <c r="AE5" s="187">
        <v>638674</v>
      </c>
      <c r="AF5" s="187">
        <f>AE5*30</f>
        <v>19160220</v>
      </c>
      <c r="AG5" s="190"/>
      <c r="AI5" s="192">
        <v>2</v>
      </c>
      <c r="AJ5" s="187">
        <v>58533</v>
      </c>
      <c r="AK5" s="187">
        <v>613672</v>
      </c>
      <c r="AL5" s="187">
        <v>33533</v>
      </c>
      <c r="AM5" s="187">
        <v>638672</v>
      </c>
      <c r="AN5" s="187">
        <v>23533</v>
      </c>
      <c r="AO5" s="187">
        <v>507237</v>
      </c>
      <c r="AQ5" s="179" t="s">
        <v>144</v>
      </c>
      <c r="AR5" s="179" t="b">
        <v>1</v>
      </c>
    </row>
    <row r="6" spans="1:44" ht="21" x14ac:dyDescent="0.25">
      <c r="A6" s="49"/>
      <c r="H6" s="49"/>
      <c r="I6" s="49"/>
      <c r="J6" s="192">
        <v>3</v>
      </c>
      <c r="K6" s="187">
        <v>82257</v>
      </c>
      <c r="L6" s="187">
        <v>84291</v>
      </c>
      <c r="M6" s="187">
        <v>86322</v>
      </c>
      <c r="N6" s="187">
        <v>88355</v>
      </c>
      <c r="O6" s="187">
        <v>90388</v>
      </c>
      <c r="P6" s="187">
        <v>92419</v>
      </c>
      <c r="Q6" s="187">
        <v>94452</v>
      </c>
      <c r="R6" s="187">
        <v>96485</v>
      </c>
      <c r="S6" s="187">
        <v>98516</v>
      </c>
      <c r="T6" s="187">
        <v>100549</v>
      </c>
      <c r="U6" s="187">
        <v>102583</v>
      </c>
      <c r="V6" s="188">
        <v>104613</v>
      </c>
      <c r="X6" s="192">
        <v>3</v>
      </c>
      <c r="Y6" s="187">
        <v>33733</v>
      </c>
      <c r="Z6" s="187">
        <f t="shared" ref="Z6:Z23" si="1">Y6*30</f>
        <v>1011990</v>
      </c>
      <c r="AA6" s="187">
        <f t="shared" si="0"/>
        <v>1012000</v>
      </c>
      <c r="AD6" s="192">
        <v>3</v>
      </c>
      <c r="AE6" s="187">
        <v>640538</v>
      </c>
      <c r="AF6" s="187">
        <f t="shared" ref="AF6:AF23" si="2">AE6*30</f>
        <v>19216140</v>
      </c>
      <c r="AG6" s="190"/>
      <c r="AI6" s="192">
        <v>3</v>
      </c>
      <c r="AJ6" s="187">
        <v>58733</v>
      </c>
      <c r="AK6" s="187">
        <v>615535</v>
      </c>
      <c r="AL6" s="187">
        <v>33733</v>
      </c>
      <c r="AM6" s="187">
        <v>640535</v>
      </c>
      <c r="AN6" s="187">
        <v>23733</v>
      </c>
      <c r="AO6" s="187">
        <v>508858</v>
      </c>
      <c r="AQ6" s="179" t="s">
        <v>145</v>
      </c>
      <c r="AR6" s="179" t="b">
        <v>0</v>
      </c>
    </row>
    <row r="7" spans="1:44" ht="21" x14ac:dyDescent="0.25">
      <c r="A7" s="49"/>
      <c r="H7" s="49"/>
      <c r="I7" s="49"/>
      <c r="J7" s="192">
        <v>4</v>
      </c>
      <c r="K7" s="187">
        <v>106647</v>
      </c>
      <c r="L7" s="187">
        <v>107985</v>
      </c>
      <c r="M7" s="187">
        <v>109325</v>
      </c>
      <c r="N7" s="187">
        <v>110664</v>
      </c>
      <c r="O7" s="187">
        <v>112002</v>
      </c>
      <c r="P7" s="187">
        <v>113342</v>
      </c>
      <c r="Q7" s="187">
        <v>114381</v>
      </c>
      <c r="R7" s="187">
        <v>116019</v>
      </c>
      <c r="S7" s="187">
        <v>117359</v>
      </c>
      <c r="T7" s="187">
        <v>118698</v>
      </c>
      <c r="U7" s="187">
        <v>120036</v>
      </c>
      <c r="V7" s="188">
        <v>121376</v>
      </c>
      <c r="X7" s="192">
        <v>4</v>
      </c>
      <c r="Y7" s="187">
        <v>33933</v>
      </c>
      <c r="Z7" s="187">
        <f t="shared" si="1"/>
        <v>1017990</v>
      </c>
      <c r="AA7" s="187">
        <f t="shared" si="0"/>
        <v>1018000</v>
      </c>
      <c r="AD7" s="192">
        <v>4</v>
      </c>
      <c r="AE7" s="187">
        <v>642403</v>
      </c>
      <c r="AF7" s="187">
        <f t="shared" si="2"/>
        <v>19272090</v>
      </c>
      <c r="AG7" s="190"/>
      <c r="AI7" s="192">
        <v>4</v>
      </c>
      <c r="AJ7" s="187">
        <v>58933</v>
      </c>
      <c r="AK7" s="187">
        <v>617403</v>
      </c>
      <c r="AL7" s="187">
        <v>33933</v>
      </c>
      <c r="AM7" s="187">
        <v>640403</v>
      </c>
      <c r="AN7" s="187">
        <v>23933</v>
      </c>
      <c r="AO7" s="187">
        <v>510482</v>
      </c>
      <c r="AQ7" s="179" t="s">
        <v>146</v>
      </c>
      <c r="AR7" s="179" t="b">
        <v>0</v>
      </c>
    </row>
    <row r="8" spans="1:44" ht="21" x14ac:dyDescent="0.25">
      <c r="A8" s="49"/>
      <c r="H8" s="49"/>
      <c r="I8" s="49"/>
      <c r="J8" s="192">
        <v>5</v>
      </c>
      <c r="K8" s="187">
        <v>122714</v>
      </c>
      <c r="L8" s="187">
        <v>124241</v>
      </c>
      <c r="M8" s="187">
        <v>125768</v>
      </c>
      <c r="N8" s="187">
        <v>127294</v>
      </c>
      <c r="O8" s="187">
        <v>128821</v>
      </c>
      <c r="P8" s="187">
        <v>130347</v>
      </c>
      <c r="Q8" s="187">
        <v>131873</v>
      </c>
      <c r="R8" s="187">
        <v>133400</v>
      </c>
      <c r="S8" s="187">
        <v>134926</v>
      </c>
      <c r="T8" s="187">
        <v>136452</v>
      </c>
      <c r="U8" s="187">
        <v>137980</v>
      </c>
      <c r="V8" s="187">
        <v>139506</v>
      </c>
      <c r="X8" s="192">
        <v>5</v>
      </c>
      <c r="Y8" s="187">
        <v>34133</v>
      </c>
      <c r="Z8" s="187">
        <f t="shared" si="1"/>
        <v>1023990</v>
      </c>
      <c r="AA8" s="187">
        <f t="shared" si="0"/>
        <v>1024000</v>
      </c>
      <c r="AD8" s="192">
        <v>5</v>
      </c>
      <c r="AE8" s="187">
        <v>644889</v>
      </c>
      <c r="AF8" s="187">
        <f t="shared" si="2"/>
        <v>19346670</v>
      </c>
      <c r="AG8" s="190"/>
      <c r="AI8" s="192">
        <v>5</v>
      </c>
      <c r="AJ8" s="187">
        <v>59133</v>
      </c>
      <c r="AK8" s="187">
        <v>619273</v>
      </c>
      <c r="AL8" s="187">
        <v>34133</v>
      </c>
      <c r="AM8" s="187">
        <v>644273</v>
      </c>
      <c r="AN8" s="187">
        <v>24133</v>
      </c>
      <c r="AO8" s="187">
        <v>512639</v>
      </c>
    </row>
    <row r="9" spans="1:44" ht="21" x14ac:dyDescent="0.25">
      <c r="A9" s="49"/>
      <c r="H9" s="49"/>
      <c r="I9" s="49"/>
      <c r="J9" s="192">
        <v>6</v>
      </c>
      <c r="K9" s="187">
        <v>141032</v>
      </c>
      <c r="L9" s="187">
        <v>141926</v>
      </c>
      <c r="M9" s="187">
        <v>142818</v>
      </c>
      <c r="N9" s="187">
        <v>143711</v>
      </c>
      <c r="O9" s="187">
        <v>144605</v>
      </c>
      <c r="P9" s="187">
        <v>145496</v>
      </c>
      <c r="Q9" s="187">
        <v>146390</v>
      </c>
      <c r="R9" s="187">
        <v>147284</v>
      </c>
      <c r="S9" s="187">
        <v>148175</v>
      </c>
      <c r="T9" s="187">
        <v>149069</v>
      </c>
      <c r="U9" s="187">
        <v>149963</v>
      </c>
      <c r="V9" s="187">
        <v>150854</v>
      </c>
      <c r="X9" s="192">
        <v>6</v>
      </c>
      <c r="Y9" s="187">
        <v>34333</v>
      </c>
      <c r="Z9" s="187">
        <f t="shared" si="1"/>
        <v>1029990</v>
      </c>
      <c r="AA9" s="187">
        <f t="shared" si="0"/>
        <v>1030000</v>
      </c>
      <c r="AD9" s="192">
        <v>6</v>
      </c>
      <c r="AE9" s="187">
        <v>647375</v>
      </c>
      <c r="AF9" s="187">
        <f t="shared" si="2"/>
        <v>19421250</v>
      </c>
      <c r="AG9" s="190"/>
      <c r="AI9" s="192">
        <v>6</v>
      </c>
      <c r="AJ9" s="187">
        <v>59333</v>
      </c>
      <c r="AK9" s="187">
        <v>621754</v>
      </c>
      <c r="AL9" s="187">
        <v>34333</v>
      </c>
      <c r="AM9" s="187">
        <v>646754</v>
      </c>
      <c r="AN9" s="187">
        <v>24333</v>
      </c>
      <c r="AO9" s="187">
        <v>514805</v>
      </c>
    </row>
    <row r="10" spans="1:44" ht="24.75" hidden="1" x14ac:dyDescent="0.6">
      <c r="A10" s="49"/>
      <c r="C10" s="167" t="s">
        <v>176</v>
      </c>
      <c r="H10" s="49"/>
      <c r="I10" s="49"/>
      <c r="J10" s="192">
        <v>7</v>
      </c>
      <c r="K10" s="187">
        <v>151747</v>
      </c>
      <c r="L10" s="187">
        <v>152348</v>
      </c>
      <c r="M10" s="187">
        <v>152948</v>
      </c>
      <c r="N10" s="187">
        <v>153548</v>
      </c>
      <c r="O10" s="187">
        <v>154149</v>
      </c>
      <c r="P10" s="187">
        <v>154749</v>
      </c>
      <c r="Q10" s="187">
        <v>155348</v>
      </c>
      <c r="R10" s="187">
        <v>155948</v>
      </c>
      <c r="S10" s="187">
        <v>156549</v>
      </c>
      <c r="T10" s="187">
        <v>157149</v>
      </c>
      <c r="U10" s="187">
        <v>157749</v>
      </c>
      <c r="V10" s="186">
        <v>158348</v>
      </c>
      <c r="X10" s="192">
        <v>7</v>
      </c>
      <c r="Y10" s="187">
        <v>34533</v>
      </c>
      <c r="Z10" s="187">
        <f t="shared" si="1"/>
        <v>1035990</v>
      </c>
      <c r="AA10" s="187">
        <f t="shared" si="0"/>
        <v>1036000</v>
      </c>
      <c r="AD10" s="192">
        <v>7</v>
      </c>
      <c r="AE10" s="187">
        <v>649861</v>
      </c>
      <c r="AF10" s="187">
        <f t="shared" si="2"/>
        <v>19495830</v>
      </c>
      <c r="AG10" s="190"/>
      <c r="AI10" s="192">
        <v>7</v>
      </c>
      <c r="AJ10" s="187">
        <v>59533</v>
      </c>
      <c r="AK10" s="187">
        <v>624242</v>
      </c>
      <c r="AL10" s="187">
        <v>34533</v>
      </c>
      <c r="AM10" s="187">
        <v>649242</v>
      </c>
      <c r="AN10" s="187">
        <v>24533</v>
      </c>
      <c r="AO10" s="187">
        <v>516960</v>
      </c>
      <c r="AQ10" s="185" t="s">
        <v>129</v>
      </c>
      <c r="AR10" s="185" t="s">
        <v>130</v>
      </c>
    </row>
    <row r="11" spans="1:44" ht="24.75" hidden="1" x14ac:dyDescent="0.6">
      <c r="A11" s="49"/>
      <c r="C11" s="167" t="s">
        <v>177</v>
      </c>
      <c r="H11" s="49"/>
      <c r="I11" s="49"/>
      <c r="J11" s="192">
        <v>8</v>
      </c>
      <c r="K11" s="187">
        <v>158949</v>
      </c>
      <c r="L11" s="187">
        <v>159498</v>
      </c>
      <c r="M11" s="187">
        <v>160050</v>
      </c>
      <c r="N11" s="187">
        <v>160599</v>
      </c>
      <c r="O11" s="187">
        <v>161149</v>
      </c>
      <c r="P11" s="187">
        <v>161701</v>
      </c>
      <c r="Q11" s="187">
        <v>162249</v>
      </c>
      <c r="R11" s="187">
        <v>162799</v>
      </c>
      <c r="S11" s="187">
        <v>163351</v>
      </c>
      <c r="T11" s="187">
        <v>163899</v>
      </c>
      <c r="U11" s="187">
        <v>164449</v>
      </c>
      <c r="V11" s="187">
        <v>165001</v>
      </c>
      <c r="X11" s="192">
        <v>8</v>
      </c>
      <c r="Y11" s="187">
        <v>34733</v>
      </c>
      <c r="Z11" s="187">
        <f t="shared" si="1"/>
        <v>1041990</v>
      </c>
      <c r="AA11" s="187">
        <f t="shared" si="0"/>
        <v>1042000</v>
      </c>
      <c r="AD11" s="192">
        <v>8</v>
      </c>
      <c r="AE11" s="187">
        <v>652968</v>
      </c>
      <c r="AF11" s="187">
        <f t="shared" si="2"/>
        <v>19589040</v>
      </c>
      <c r="AG11" s="190"/>
      <c r="AI11" s="192">
        <v>8</v>
      </c>
      <c r="AJ11" s="187">
        <v>59733</v>
      </c>
      <c r="AK11" s="187">
        <v>626730</v>
      </c>
      <c r="AL11" s="187">
        <v>34733</v>
      </c>
      <c r="AM11" s="187">
        <v>651730</v>
      </c>
      <c r="AN11" s="187">
        <v>24733</v>
      </c>
      <c r="AO11" s="187">
        <v>519661</v>
      </c>
      <c r="AQ11" s="193">
        <f>'11'!AK25</f>
        <v>611809</v>
      </c>
      <c r="AR11" s="193">
        <f>'11'!AM25</f>
        <v>636809</v>
      </c>
    </row>
    <row r="12" spans="1:44" ht="24.75" hidden="1" x14ac:dyDescent="0.6">
      <c r="A12" s="49"/>
      <c r="C12" s="167" t="s">
        <v>179</v>
      </c>
      <c r="H12" s="49"/>
      <c r="I12" s="49"/>
      <c r="J12" s="192">
        <v>9</v>
      </c>
      <c r="K12" s="187">
        <v>165550</v>
      </c>
      <c r="L12" s="187">
        <v>166021</v>
      </c>
      <c r="M12" s="187">
        <v>166490</v>
      </c>
      <c r="N12" s="187">
        <v>166963</v>
      </c>
      <c r="O12" s="187">
        <v>167435</v>
      </c>
      <c r="P12" s="187">
        <v>167904</v>
      </c>
      <c r="Q12" s="187">
        <v>168375</v>
      </c>
      <c r="R12" s="187">
        <v>168847</v>
      </c>
      <c r="S12" s="187">
        <v>169316</v>
      </c>
      <c r="T12" s="187">
        <v>169787</v>
      </c>
      <c r="U12" s="187">
        <v>170259</v>
      </c>
      <c r="V12" s="186">
        <v>170728</v>
      </c>
      <c r="X12" s="192">
        <v>9</v>
      </c>
      <c r="Y12" s="187">
        <v>34933</v>
      </c>
      <c r="Z12" s="187">
        <f t="shared" si="1"/>
        <v>1047990</v>
      </c>
      <c r="AA12" s="187">
        <f t="shared" si="0"/>
        <v>1048000</v>
      </c>
      <c r="AD12" s="192">
        <v>9</v>
      </c>
      <c r="AE12" s="187">
        <v>656076</v>
      </c>
      <c r="AF12" s="187">
        <f t="shared" si="2"/>
        <v>19682280</v>
      </c>
      <c r="AG12" s="190"/>
      <c r="AI12" s="192">
        <v>9</v>
      </c>
      <c r="AJ12" s="187">
        <v>59933</v>
      </c>
      <c r="AK12" s="187">
        <v>629839</v>
      </c>
      <c r="AL12" s="187">
        <v>34933</v>
      </c>
      <c r="AM12" s="187">
        <v>654839</v>
      </c>
      <c r="AN12" s="187">
        <v>24933</v>
      </c>
      <c r="AO12" s="187">
        <v>522361</v>
      </c>
      <c r="AQ12" s="193"/>
      <c r="AR12" s="193"/>
    </row>
    <row r="13" spans="1:44" ht="24.75" hidden="1" x14ac:dyDescent="0.6">
      <c r="A13" s="49"/>
      <c r="C13" s="167" t="s">
        <v>175</v>
      </c>
      <c r="H13" s="49"/>
      <c r="I13" s="49"/>
      <c r="J13" s="192">
        <v>10</v>
      </c>
      <c r="K13" s="187">
        <v>171201</v>
      </c>
      <c r="L13" s="187">
        <v>171700</v>
      </c>
      <c r="M13" s="187">
        <v>172198</v>
      </c>
      <c r="N13" s="187">
        <v>172698</v>
      </c>
      <c r="O13" s="187">
        <v>173197</v>
      </c>
      <c r="P13" s="187">
        <v>173695</v>
      </c>
      <c r="Q13" s="187">
        <v>174195</v>
      </c>
      <c r="R13" s="187">
        <v>174696</v>
      </c>
      <c r="S13" s="187">
        <v>175192</v>
      </c>
      <c r="T13" s="187">
        <v>175693</v>
      </c>
      <c r="U13" s="187">
        <v>176193</v>
      </c>
      <c r="V13" s="186">
        <v>176690</v>
      </c>
      <c r="X13" s="192">
        <v>10</v>
      </c>
      <c r="Y13" s="187">
        <v>35133</v>
      </c>
      <c r="Z13" s="187">
        <f t="shared" si="1"/>
        <v>1053990</v>
      </c>
      <c r="AA13" s="187">
        <f t="shared" si="0"/>
        <v>1054000</v>
      </c>
      <c r="AD13" s="192">
        <v>10</v>
      </c>
      <c r="AE13" s="187">
        <v>659805</v>
      </c>
      <c r="AF13" s="187">
        <f t="shared" si="2"/>
        <v>19794150</v>
      </c>
      <c r="AG13" s="190"/>
      <c r="AI13" s="192">
        <v>10</v>
      </c>
      <c r="AJ13" s="187">
        <v>60133</v>
      </c>
      <c r="AK13" s="187">
        <v>632948</v>
      </c>
      <c r="AL13" s="187">
        <v>35133</v>
      </c>
      <c r="AM13" s="187">
        <v>657948</v>
      </c>
      <c r="AN13" s="187">
        <v>25133</v>
      </c>
      <c r="AO13" s="187">
        <v>525602</v>
      </c>
      <c r="AQ13" s="185">
        <f>'11'!AK26</f>
        <v>58333</v>
      </c>
      <c r="AR13" s="185">
        <f>'11'!AM26</f>
        <v>33333</v>
      </c>
    </row>
    <row r="14" spans="1:44" ht="24.75" hidden="1" x14ac:dyDescent="0.6">
      <c r="A14" s="49"/>
      <c r="C14" s="167" t="s">
        <v>167</v>
      </c>
      <c r="H14" s="49"/>
      <c r="I14" s="49"/>
      <c r="J14" s="192">
        <v>11</v>
      </c>
      <c r="K14" s="187">
        <v>177190</v>
      </c>
      <c r="L14" s="187">
        <v>177523</v>
      </c>
      <c r="M14" s="187">
        <v>177856</v>
      </c>
      <c r="N14" s="187">
        <v>178189</v>
      </c>
      <c r="O14" s="187">
        <v>178523</v>
      </c>
      <c r="P14" s="187">
        <v>178856</v>
      </c>
      <c r="Q14" s="187">
        <v>179189</v>
      </c>
      <c r="R14" s="187">
        <v>179522</v>
      </c>
      <c r="S14" s="187">
        <v>179856</v>
      </c>
      <c r="T14" s="187">
        <v>180189</v>
      </c>
      <c r="U14" s="187">
        <v>180523</v>
      </c>
      <c r="V14" s="186">
        <v>180855</v>
      </c>
      <c r="X14" s="192">
        <v>11</v>
      </c>
      <c r="Y14" s="187">
        <v>35333</v>
      </c>
      <c r="Z14" s="187">
        <f t="shared" si="1"/>
        <v>1059990</v>
      </c>
      <c r="AA14" s="187">
        <f t="shared" si="0"/>
        <v>1060000</v>
      </c>
      <c r="AD14" s="192">
        <v>11</v>
      </c>
      <c r="AE14" s="187">
        <v>663534</v>
      </c>
      <c r="AF14" s="187">
        <f t="shared" si="2"/>
        <v>19906020</v>
      </c>
      <c r="AG14" s="190"/>
      <c r="AI14" s="192">
        <v>11</v>
      </c>
      <c r="AJ14" s="187">
        <v>60333</v>
      </c>
      <c r="AK14" s="187">
        <v>636677</v>
      </c>
      <c r="AL14" s="187">
        <v>35333</v>
      </c>
      <c r="AM14" s="187">
        <v>661677</v>
      </c>
      <c r="AN14" s="187">
        <v>25333</v>
      </c>
      <c r="AO14" s="187">
        <v>528843</v>
      </c>
      <c r="AQ14" s="185">
        <f>611809*3</f>
        <v>1835427</v>
      </c>
      <c r="AR14" s="185">
        <f>636809*3</f>
        <v>1910427</v>
      </c>
    </row>
    <row r="15" spans="1:44" ht="21" hidden="1" x14ac:dyDescent="0.25">
      <c r="A15" s="49"/>
      <c r="C15" s="167" t="s">
        <v>178</v>
      </c>
      <c r="H15" s="49"/>
      <c r="I15" s="49"/>
      <c r="J15" s="192">
        <v>12</v>
      </c>
      <c r="K15" s="187">
        <v>181195</v>
      </c>
      <c r="L15" s="187">
        <v>181545</v>
      </c>
      <c r="M15" s="187">
        <v>181895</v>
      </c>
      <c r="N15" s="187">
        <v>182245</v>
      </c>
      <c r="O15" s="187">
        <v>182595</v>
      </c>
      <c r="P15" s="187">
        <v>182945</v>
      </c>
      <c r="Q15" s="187">
        <v>183294</v>
      </c>
      <c r="R15" s="187">
        <v>183645</v>
      </c>
      <c r="S15" s="187">
        <v>183995</v>
      </c>
      <c r="T15" s="187">
        <v>184344</v>
      </c>
      <c r="U15" s="187">
        <v>184694</v>
      </c>
      <c r="V15" s="186">
        <v>185044</v>
      </c>
      <c r="X15" s="192">
        <v>12</v>
      </c>
      <c r="Y15" s="187">
        <v>35733</v>
      </c>
      <c r="Z15" s="187">
        <f t="shared" si="1"/>
        <v>1071990</v>
      </c>
      <c r="AA15" s="187">
        <f t="shared" si="0"/>
        <v>1072000</v>
      </c>
      <c r="AD15" s="192">
        <v>12</v>
      </c>
      <c r="AE15" s="187">
        <v>667263</v>
      </c>
      <c r="AF15" s="187">
        <f t="shared" si="2"/>
        <v>20017890</v>
      </c>
      <c r="AG15" s="190"/>
      <c r="AI15" s="192">
        <v>12</v>
      </c>
      <c r="AJ15" s="187">
        <v>60733</v>
      </c>
      <c r="AK15" s="187">
        <v>640411</v>
      </c>
      <c r="AL15" s="187">
        <v>35733</v>
      </c>
      <c r="AM15" s="187">
        <v>665411</v>
      </c>
      <c r="AN15" s="187">
        <v>25733</v>
      </c>
      <c r="AO15" s="187">
        <v>532084</v>
      </c>
      <c r="AQ15" s="179"/>
      <c r="AR15" s="179"/>
    </row>
    <row r="16" spans="1:44" ht="24.75" hidden="1" x14ac:dyDescent="0.6">
      <c r="A16" s="49"/>
      <c r="C16" s="167" t="s">
        <v>181</v>
      </c>
      <c r="H16" s="49"/>
      <c r="I16" s="49"/>
      <c r="J16" s="192">
        <v>13</v>
      </c>
      <c r="K16" s="187">
        <v>185401</v>
      </c>
      <c r="L16" s="187">
        <v>185768</v>
      </c>
      <c r="M16" s="187">
        <v>186136</v>
      </c>
      <c r="N16" s="187">
        <v>186503</v>
      </c>
      <c r="O16" s="187">
        <v>186871</v>
      </c>
      <c r="P16" s="187">
        <v>187238</v>
      </c>
      <c r="Q16" s="187">
        <v>187606</v>
      </c>
      <c r="R16" s="187">
        <v>187972</v>
      </c>
      <c r="S16" s="187">
        <v>188340</v>
      </c>
      <c r="T16" s="187">
        <v>188707</v>
      </c>
      <c r="U16" s="187">
        <v>189075</v>
      </c>
      <c r="V16" s="186">
        <v>189442</v>
      </c>
      <c r="X16" s="192">
        <v>13</v>
      </c>
      <c r="Y16" s="187">
        <v>36133</v>
      </c>
      <c r="Z16" s="187">
        <f t="shared" si="1"/>
        <v>1083990</v>
      </c>
      <c r="AA16" s="187">
        <f t="shared" si="0"/>
        <v>1084000</v>
      </c>
      <c r="AD16" s="192">
        <v>13</v>
      </c>
      <c r="AE16" s="187">
        <v>672235</v>
      </c>
      <c r="AF16" s="187">
        <f t="shared" si="2"/>
        <v>20167050</v>
      </c>
      <c r="AG16" s="190"/>
      <c r="AI16" s="192">
        <v>13</v>
      </c>
      <c r="AJ16" s="187">
        <v>61133</v>
      </c>
      <c r="AK16" s="187">
        <v>644145</v>
      </c>
      <c r="AL16" s="187">
        <v>36133</v>
      </c>
      <c r="AM16" s="187">
        <v>669145</v>
      </c>
      <c r="AN16" s="187">
        <v>26133</v>
      </c>
      <c r="AO16" s="187">
        <v>536425</v>
      </c>
      <c r="AQ16" s="185">
        <f>AR16*30</f>
        <v>15168810</v>
      </c>
      <c r="AR16" s="185">
        <v>505627</v>
      </c>
    </row>
    <row r="17" spans="1:46" ht="24.75" hidden="1" x14ac:dyDescent="0.6">
      <c r="A17" s="49"/>
      <c r="C17" s="167"/>
      <c r="H17" s="49"/>
      <c r="I17" s="49"/>
      <c r="J17" s="192">
        <v>14</v>
      </c>
      <c r="K17" s="187">
        <v>189817</v>
      </c>
      <c r="L17" s="187">
        <v>190219</v>
      </c>
      <c r="M17" s="187">
        <v>190625</v>
      </c>
      <c r="N17" s="187">
        <v>191029</v>
      </c>
      <c r="O17" s="187">
        <v>191434</v>
      </c>
      <c r="P17" s="187">
        <v>191838</v>
      </c>
      <c r="Q17" s="187">
        <v>192241</v>
      </c>
      <c r="R17" s="187">
        <v>192646</v>
      </c>
      <c r="S17" s="187">
        <v>193050</v>
      </c>
      <c r="T17" s="187">
        <v>193454</v>
      </c>
      <c r="U17" s="187">
        <v>193858</v>
      </c>
      <c r="V17" s="186">
        <v>194263</v>
      </c>
      <c r="X17" s="192">
        <v>14</v>
      </c>
      <c r="Y17" s="187">
        <v>36533</v>
      </c>
      <c r="Z17" s="187">
        <f t="shared" si="1"/>
        <v>1095990</v>
      </c>
      <c r="AA17" s="187">
        <f t="shared" si="0"/>
        <v>1096000</v>
      </c>
      <c r="AD17" s="192">
        <v>14</v>
      </c>
      <c r="AE17" s="187">
        <v>677207</v>
      </c>
      <c r="AF17" s="187">
        <f t="shared" si="2"/>
        <v>20316210</v>
      </c>
      <c r="AG17" s="190"/>
      <c r="AI17" s="192">
        <v>14</v>
      </c>
      <c r="AJ17" s="187">
        <v>61533</v>
      </c>
      <c r="AK17" s="187">
        <v>649113</v>
      </c>
      <c r="AL17" s="187">
        <v>36533</v>
      </c>
      <c r="AM17" s="187">
        <v>674113</v>
      </c>
      <c r="AN17" s="187">
        <v>26533</v>
      </c>
      <c r="AO17" s="187">
        <v>540827</v>
      </c>
      <c r="AQ17" s="185">
        <v>30338</v>
      </c>
      <c r="AR17" s="185">
        <v>55338</v>
      </c>
    </row>
    <row r="18" spans="1:46" ht="21" hidden="1" x14ac:dyDescent="0.25">
      <c r="A18" s="49"/>
      <c r="H18" s="49"/>
      <c r="I18" s="49"/>
      <c r="J18" s="192">
        <v>15</v>
      </c>
      <c r="K18" s="187">
        <v>194675</v>
      </c>
      <c r="L18" s="187">
        <v>195038</v>
      </c>
      <c r="M18" s="187">
        <v>195401</v>
      </c>
      <c r="N18" s="187">
        <v>195765</v>
      </c>
      <c r="O18" s="187">
        <v>196128</v>
      </c>
      <c r="P18" s="187">
        <v>196492</v>
      </c>
      <c r="Q18" s="187">
        <v>196855</v>
      </c>
      <c r="R18" s="187">
        <v>197217</v>
      </c>
      <c r="S18" s="187">
        <v>197581</v>
      </c>
      <c r="T18" s="187">
        <v>197944</v>
      </c>
      <c r="U18" s="187">
        <v>198307</v>
      </c>
      <c r="V18" s="186">
        <v>198671</v>
      </c>
      <c r="X18" s="192">
        <v>15</v>
      </c>
      <c r="Y18" s="187">
        <v>36933</v>
      </c>
      <c r="Z18" s="187">
        <f t="shared" si="1"/>
        <v>1107990</v>
      </c>
      <c r="AA18" s="187">
        <f t="shared" si="0"/>
        <v>1108000</v>
      </c>
      <c r="AD18" s="192">
        <v>15</v>
      </c>
      <c r="AE18" s="187">
        <v>682179</v>
      </c>
      <c r="AF18" s="187">
        <f t="shared" si="2"/>
        <v>20465370</v>
      </c>
      <c r="AG18" s="190"/>
      <c r="AI18" s="192">
        <v>15</v>
      </c>
      <c r="AJ18" s="187">
        <v>61933</v>
      </c>
      <c r="AK18" s="187">
        <v>654081</v>
      </c>
      <c r="AL18" s="187">
        <v>36933</v>
      </c>
      <c r="AM18" s="187">
        <v>679081</v>
      </c>
      <c r="AN18" s="187">
        <v>26933</v>
      </c>
      <c r="AO18" s="187">
        <v>545047</v>
      </c>
    </row>
    <row r="19" spans="1:46" ht="21" hidden="1" x14ac:dyDescent="0.25">
      <c r="A19" s="49"/>
      <c r="H19" s="49"/>
      <c r="I19" s="49"/>
      <c r="J19" s="192">
        <v>16</v>
      </c>
      <c r="K19" s="187">
        <v>199034</v>
      </c>
      <c r="L19" s="187">
        <v>199355</v>
      </c>
      <c r="M19" s="187">
        <v>199676</v>
      </c>
      <c r="N19" s="187">
        <v>199997</v>
      </c>
      <c r="O19" s="187">
        <v>200316</v>
      </c>
      <c r="P19" s="187">
        <v>200637</v>
      </c>
      <c r="Q19" s="187">
        <v>200958</v>
      </c>
      <c r="R19" s="187">
        <v>201279</v>
      </c>
      <c r="S19" s="187">
        <v>201599</v>
      </c>
      <c r="T19" s="187">
        <v>201920</v>
      </c>
      <c r="U19" s="187">
        <v>202240</v>
      </c>
      <c r="V19" s="186">
        <v>202561</v>
      </c>
      <c r="X19" s="192">
        <v>16</v>
      </c>
      <c r="Y19" s="187">
        <v>37333</v>
      </c>
      <c r="Z19" s="187">
        <f t="shared" si="1"/>
        <v>1119990</v>
      </c>
      <c r="AA19" s="187">
        <f t="shared" si="0"/>
        <v>1120000</v>
      </c>
      <c r="AD19" s="192">
        <v>16</v>
      </c>
      <c r="AE19" s="187">
        <v>688394</v>
      </c>
      <c r="AF19" s="187">
        <f t="shared" si="2"/>
        <v>20651820</v>
      </c>
      <c r="AG19" s="190"/>
      <c r="AI19" s="192">
        <v>16</v>
      </c>
      <c r="AJ19" s="187">
        <v>62333</v>
      </c>
      <c r="AK19" s="187">
        <v>659071</v>
      </c>
      <c r="AL19" s="187">
        <v>37333</v>
      </c>
      <c r="AM19" s="187">
        <v>684071</v>
      </c>
      <c r="AN19" s="187">
        <v>27333</v>
      </c>
      <c r="AO19" s="187">
        <v>550449</v>
      </c>
      <c r="AT19" s="50">
        <v>0</v>
      </c>
    </row>
    <row r="20" spans="1:46" ht="21" x14ac:dyDescent="0.25">
      <c r="A20" s="49"/>
      <c r="H20" s="49"/>
      <c r="I20" s="49"/>
      <c r="J20" s="192">
        <v>17</v>
      </c>
      <c r="K20" s="187">
        <v>202882</v>
      </c>
      <c r="L20" s="187">
        <v>203134</v>
      </c>
      <c r="M20" s="187">
        <v>203386</v>
      </c>
      <c r="N20" s="187">
        <v>203639</v>
      </c>
      <c r="O20" s="187">
        <v>203895</v>
      </c>
      <c r="P20" s="187">
        <v>204147</v>
      </c>
      <c r="Q20" s="187">
        <v>204399</v>
      </c>
      <c r="R20" s="187">
        <v>204652</v>
      </c>
      <c r="S20" s="187">
        <v>204904</v>
      </c>
      <c r="T20" s="187">
        <v>205156</v>
      </c>
      <c r="U20" s="187">
        <v>205412</v>
      </c>
      <c r="V20" s="186">
        <v>205661</v>
      </c>
      <c r="X20" s="192">
        <v>17</v>
      </c>
      <c r="Y20" s="187">
        <v>37733</v>
      </c>
      <c r="Z20" s="187">
        <f t="shared" si="1"/>
        <v>1131990</v>
      </c>
      <c r="AA20" s="187">
        <f t="shared" si="0"/>
        <v>1132000</v>
      </c>
      <c r="AD20" s="192">
        <v>17</v>
      </c>
      <c r="AE20" s="187">
        <v>694609</v>
      </c>
      <c r="AF20" s="187">
        <f t="shared" si="2"/>
        <v>20838270</v>
      </c>
      <c r="AG20" s="190"/>
      <c r="AI20" s="192">
        <v>17</v>
      </c>
      <c r="AJ20" s="187">
        <v>62733</v>
      </c>
      <c r="AK20" s="187">
        <v>665278</v>
      </c>
      <c r="AL20" s="187">
        <v>37733</v>
      </c>
      <c r="AM20" s="187">
        <v>690278</v>
      </c>
      <c r="AN20" s="187">
        <v>27733</v>
      </c>
      <c r="AO20" s="187">
        <v>555850</v>
      </c>
    </row>
    <row r="21" spans="1:46" ht="21" x14ac:dyDescent="0.25">
      <c r="A21" s="49"/>
      <c r="H21" s="49"/>
      <c r="I21" s="49"/>
      <c r="J21" s="192">
        <v>18</v>
      </c>
      <c r="K21" s="187">
        <v>205917</v>
      </c>
      <c r="L21" s="187">
        <v>206131</v>
      </c>
      <c r="M21" s="187">
        <v>206353</v>
      </c>
      <c r="N21" s="187">
        <v>206567</v>
      </c>
      <c r="O21" s="187">
        <v>206784</v>
      </c>
      <c r="P21" s="187">
        <v>207003</v>
      </c>
      <c r="Q21" s="187">
        <v>207220</v>
      </c>
      <c r="R21" s="187">
        <v>207434</v>
      </c>
      <c r="S21" s="187">
        <v>207652</v>
      </c>
      <c r="T21" s="187">
        <v>207870</v>
      </c>
      <c r="U21" s="187">
        <v>208084</v>
      </c>
      <c r="V21" s="186">
        <v>208307</v>
      </c>
      <c r="X21" s="192">
        <v>18</v>
      </c>
      <c r="Y21" s="187">
        <v>38133</v>
      </c>
      <c r="Z21" s="187">
        <f t="shared" si="1"/>
        <v>1143990</v>
      </c>
      <c r="AA21" s="187">
        <f t="shared" si="0"/>
        <v>1144000</v>
      </c>
      <c r="AD21" s="192">
        <v>18</v>
      </c>
      <c r="AE21" s="187">
        <v>702067</v>
      </c>
      <c r="AF21" s="187">
        <f t="shared" si="2"/>
        <v>21062010</v>
      </c>
      <c r="AG21" s="190"/>
      <c r="AI21" s="192">
        <v>18</v>
      </c>
      <c r="AJ21" s="187">
        <v>63133</v>
      </c>
      <c r="AK21" s="187">
        <v>671500</v>
      </c>
      <c r="AL21" s="187">
        <v>38133</v>
      </c>
      <c r="AM21" s="187">
        <v>696500</v>
      </c>
      <c r="AN21" s="187">
        <v>28133</v>
      </c>
      <c r="AO21" s="187">
        <v>562332</v>
      </c>
    </row>
    <row r="22" spans="1:46" ht="21" x14ac:dyDescent="0.25">
      <c r="A22" s="49"/>
      <c r="H22" s="49"/>
      <c r="I22" s="49"/>
      <c r="J22" s="192">
        <v>19</v>
      </c>
      <c r="K22" s="187">
        <v>208519</v>
      </c>
      <c r="L22" s="187">
        <v>208703</v>
      </c>
      <c r="M22" s="187">
        <v>208887</v>
      </c>
      <c r="N22" s="187">
        <v>209081</v>
      </c>
      <c r="O22" s="187">
        <v>209255</v>
      </c>
      <c r="P22" s="187">
        <v>209439</v>
      </c>
      <c r="Q22" s="187">
        <v>209622</v>
      </c>
      <c r="R22" s="187">
        <v>209803</v>
      </c>
      <c r="S22" s="187">
        <v>209986</v>
      </c>
      <c r="T22" s="187">
        <v>210170</v>
      </c>
      <c r="U22" s="187">
        <v>210363</v>
      </c>
      <c r="V22" s="186">
        <v>210542</v>
      </c>
      <c r="X22" s="192">
        <v>19</v>
      </c>
      <c r="Y22" s="187">
        <v>38533</v>
      </c>
      <c r="Z22" s="187">
        <f t="shared" si="1"/>
        <v>1155990</v>
      </c>
      <c r="AA22" s="187">
        <f t="shared" si="0"/>
        <v>1156000</v>
      </c>
      <c r="AD22" s="192">
        <v>19</v>
      </c>
      <c r="AE22" s="187">
        <v>709525</v>
      </c>
      <c r="AF22" s="187">
        <f t="shared" si="2"/>
        <v>21285750</v>
      </c>
      <c r="AG22" s="190"/>
      <c r="AI22" s="192">
        <v>19</v>
      </c>
      <c r="AJ22" s="187">
        <v>63533</v>
      </c>
      <c r="AK22" s="187">
        <v>678955</v>
      </c>
      <c r="AL22" s="187">
        <v>38533</v>
      </c>
      <c r="AM22" s="187">
        <v>703955</v>
      </c>
      <c r="AN22" s="187">
        <v>28533</v>
      </c>
      <c r="AO22" s="187">
        <v>568813</v>
      </c>
      <c r="AT22" s="200"/>
    </row>
    <row r="23" spans="1:46" ht="21" x14ac:dyDescent="0.25">
      <c r="A23" s="49"/>
      <c r="H23" s="49"/>
      <c r="I23" s="49"/>
      <c r="J23" s="192">
        <v>20</v>
      </c>
      <c r="K23" s="187">
        <v>210726</v>
      </c>
      <c r="L23" s="187">
        <v>210884</v>
      </c>
      <c r="M23" s="187">
        <v>211033</v>
      </c>
      <c r="N23" s="187">
        <v>211195</v>
      </c>
      <c r="O23" s="187">
        <v>211342</v>
      </c>
      <c r="P23" s="187">
        <v>211504</v>
      </c>
      <c r="Q23" s="187">
        <v>211662</v>
      </c>
      <c r="R23" s="187">
        <v>211820</v>
      </c>
      <c r="S23" s="187">
        <v>211969</v>
      </c>
      <c r="T23" s="187">
        <v>212128</v>
      </c>
      <c r="U23" s="187">
        <v>212286</v>
      </c>
      <c r="V23" s="186">
        <v>212444</v>
      </c>
      <c r="X23" s="192">
        <v>20</v>
      </c>
      <c r="Y23" s="187">
        <v>38933</v>
      </c>
      <c r="Z23" s="187">
        <f t="shared" si="1"/>
        <v>1167990</v>
      </c>
      <c r="AA23" s="187">
        <f t="shared" si="0"/>
        <v>1168000</v>
      </c>
      <c r="AD23" s="192">
        <v>20</v>
      </c>
      <c r="AE23" s="187">
        <v>718847</v>
      </c>
      <c r="AF23" s="187">
        <f t="shared" si="2"/>
        <v>21565410</v>
      </c>
      <c r="AG23" s="190"/>
      <c r="AI23" s="192">
        <v>20</v>
      </c>
      <c r="AJ23" s="187">
        <v>63933</v>
      </c>
      <c r="AK23" s="187">
        <v>686420</v>
      </c>
      <c r="AL23" s="187">
        <v>38932</v>
      </c>
      <c r="AM23" s="187">
        <v>711420</v>
      </c>
      <c r="AN23" s="187">
        <v>28933</v>
      </c>
      <c r="AO23" s="187">
        <v>576915</v>
      </c>
      <c r="AT23" s="200"/>
    </row>
    <row r="24" spans="1:46" ht="21" x14ac:dyDescent="0.25">
      <c r="A24" s="49"/>
      <c r="H24" s="49"/>
      <c r="I24" s="49"/>
      <c r="J24" s="192">
        <v>21</v>
      </c>
      <c r="K24" s="187">
        <v>212594</v>
      </c>
      <c r="L24" s="187">
        <v>212688</v>
      </c>
      <c r="M24" s="187">
        <v>212786</v>
      </c>
      <c r="N24" s="187">
        <v>212880</v>
      </c>
      <c r="O24" s="187">
        <v>212975</v>
      </c>
      <c r="P24" s="187">
        <v>213068</v>
      </c>
      <c r="Q24" s="187">
        <v>213162</v>
      </c>
      <c r="R24" s="187">
        <v>213252</v>
      </c>
      <c r="S24" s="187">
        <v>213346</v>
      </c>
      <c r="T24" s="187">
        <v>213448</v>
      </c>
      <c r="U24" s="187">
        <v>213552</v>
      </c>
      <c r="V24" s="186">
        <v>213658</v>
      </c>
      <c r="AT24" s="200"/>
    </row>
    <row r="25" spans="1:46" ht="24.75" customHeight="1" x14ac:dyDescent="0.25">
      <c r="A25" s="49"/>
      <c r="H25" s="49"/>
      <c r="I25" s="49"/>
      <c r="J25" s="192">
        <v>22</v>
      </c>
      <c r="K25" s="187">
        <v>213735</v>
      </c>
      <c r="L25" s="187">
        <v>213812</v>
      </c>
      <c r="M25" s="187">
        <v>213893</v>
      </c>
      <c r="N25" s="187">
        <v>213970</v>
      </c>
      <c r="O25" s="187">
        <v>214051</v>
      </c>
      <c r="P25" s="187">
        <v>214137</v>
      </c>
      <c r="Q25" s="187">
        <v>214214</v>
      </c>
      <c r="R25" s="187">
        <v>214295</v>
      </c>
      <c r="S25" s="187">
        <v>214376</v>
      </c>
      <c r="T25" s="187">
        <v>214458</v>
      </c>
      <c r="U25" s="187">
        <v>214543</v>
      </c>
      <c r="V25" s="186">
        <v>214628</v>
      </c>
      <c r="AI25" s="194" t="s">
        <v>151</v>
      </c>
      <c r="AJ25" s="195">
        <f>'11'!D3</f>
        <v>1</v>
      </c>
      <c r="AK25" s="187">
        <f>VLOOKUP(AJ25,AI4:AM23,3,0)</f>
        <v>611809</v>
      </c>
      <c r="AL25" s="195">
        <f>'11'!D3</f>
        <v>1</v>
      </c>
      <c r="AM25" s="187">
        <f>VLOOKUP(AL25,AI4:AM23,5,0)</f>
        <v>636809</v>
      </c>
      <c r="AN25" s="195">
        <f>'11'!D3</f>
        <v>1</v>
      </c>
      <c r="AO25" s="187">
        <f>VLOOKUP(AN25,AI4:AO23,7,0)</f>
        <v>505627</v>
      </c>
      <c r="AT25" s="199"/>
    </row>
    <row r="26" spans="1:46" ht="25.5" customHeight="1" x14ac:dyDescent="0.25">
      <c r="A26" s="49"/>
      <c r="H26" s="49"/>
      <c r="I26" s="49"/>
      <c r="J26" s="192">
        <v>23</v>
      </c>
      <c r="K26" s="187">
        <v>214701</v>
      </c>
      <c r="L26" s="187">
        <v>214782</v>
      </c>
      <c r="M26" s="187">
        <v>214864</v>
      </c>
      <c r="N26" s="187">
        <v>214944</v>
      </c>
      <c r="O26" s="187">
        <v>215022</v>
      </c>
      <c r="P26" s="187">
        <v>215099</v>
      </c>
      <c r="Q26" s="187">
        <v>215180</v>
      </c>
      <c r="R26" s="187">
        <v>215261</v>
      </c>
      <c r="S26" s="187">
        <v>215342</v>
      </c>
      <c r="T26" s="187">
        <v>215424</v>
      </c>
      <c r="U26" s="187">
        <v>215505</v>
      </c>
      <c r="V26" s="186">
        <v>215586</v>
      </c>
      <c r="AI26" s="194" t="s">
        <v>137</v>
      </c>
      <c r="AJ26" s="195">
        <f>'11'!D3</f>
        <v>1</v>
      </c>
      <c r="AK26" s="187">
        <f>VLOOKUP(AJ26,AI4:AM23,2,0)</f>
        <v>58333</v>
      </c>
      <c r="AL26" s="195">
        <f>'11'!D3</f>
        <v>1</v>
      </c>
      <c r="AM26" s="187">
        <f>VLOOKUP(AL26,AI4:AM23,4,0)</f>
        <v>33333</v>
      </c>
      <c r="AN26" s="195">
        <f>'11'!D3</f>
        <v>1</v>
      </c>
      <c r="AO26" s="187">
        <f>VLOOKUP(AN26,AI4:AO23,6,0)</f>
        <v>23333</v>
      </c>
      <c r="AT26" s="199"/>
    </row>
    <row r="27" spans="1:46" ht="21" x14ac:dyDescent="0.25">
      <c r="A27" s="49"/>
      <c r="H27" s="49"/>
      <c r="I27" s="49"/>
      <c r="J27" s="192">
        <v>24</v>
      </c>
      <c r="K27" s="187">
        <v>215676</v>
      </c>
      <c r="L27" s="187">
        <v>215774</v>
      </c>
      <c r="M27" s="187">
        <v>215873</v>
      </c>
      <c r="N27" s="187">
        <v>215967</v>
      </c>
      <c r="O27" s="187">
        <v>216065</v>
      </c>
      <c r="P27" s="187">
        <v>216163</v>
      </c>
      <c r="Q27" s="187">
        <v>216261</v>
      </c>
      <c r="R27" s="187">
        <v>216360</v>
      </c>
      <c r="S27" s="187">
        <v>216458</v>
      </c>
      <c r="T27" s="187">
        <v>216560</v>
      </c>
      <c r="U27" s="187">
        <v>216659</v>
      </c>
      <c r="V27" s="186">
        <v>216757</v>
      </c>
      <c r="AK27" s="50" t="s">
        <v>129</v>
      </c>
      <c r="AM27" s="50" t="s">
        <v>130</v>
      </c>
      <c r="AO27" s="50">
        <v>98</v>
      </c>
      <c r="AT27" s="199"/>
    </row>
    <row r="28" spans="1:46" ht="21" x14ac:dyDescent="0.25">
      <c r="A28" s="49"/>
      <c r="H28" s="49"/>
      <c r="I28" s="49"/>
      <c r="J28" s="192">
        <v>25</v>
      </c>
      <c r="K28" s="187">
        <v>216856</v>
      </c>
      <c r="L28" s="187">
        <v>216941</v>
      </c>
      <c r="M28" s="187">
        <v>217027</v>
      </c>
      <c r="N28" s="187">
        <v>217108</v>
      </c>
      <c r="O28" s="187">
        <v>217193</v>
      </c>
      <c r="P28" s="187">
        <v>217279</v>
      </c>
      <c r="Q28" s="187">
        <v>217356</v>
      </c>
      <c r="R28" s="187">
        <v>217441</v>
      </c>
      <c r="S28" s="187">
        <v>217523</v>
      </c>
      <c r="T28" s="187">
        <v>217608</v>
      </c>
      <c r="U28" s="187">
        <v>217693</v>
      </c>
      <c r="V28" s="186">
        <v>217779</v>
      </c>
      <c r="AK28" s="187"/>
      <c r="AO28" s="187">
        <f>IF('دستمزد 1404'!G8&gt;'11'!AO26,'دستمزد 1404'!G8,AO26)</f>
        <v>23333</v>
      </c>
      <c r="AT28" s="199"/>
    </row>
    <row r="29" spans="1:46" ht="21" x14ac:dyDescent="0.25">
      <c r="A29" s="49"/>
      <c r="H29" s="49"/>
      <c r="I29" s="49"/>
      <c r="J29" s="192">
        <v>26</v>
      </c>
      <c r="K29" s="187">
        <v>217869</v>
      </c>
      <c r="L29" s="187">
        <v>217937</v>
      </c>
      <c r="M29" s="187">
        <v>218014</v>
      </c>
      <c r="N29" s="187">
        <v>218091</v>
      </c>
      <c r="O29" s="187">
        <v>218163</v>
      </c>
      <c r="P29" s="187">
        <v>218232</v>
      </c>
      <c r="Q29" s="187">
        <v>218309</v>
      </c>
      <c r="R29" s="187">
        <v>218386</v>
      </c>
      <c r="S29" s="187">
        <v>218459</v>
      </c>
      <c r="T29" s="187">
        <v>218531</v>
      </c>
      <c r="U29" s="187">
        <v>218604</v>
      </c>
      <c r="V29" s="186">
        <v>218676</v>
      </c>
      <c r="AI29" s="194" t="s">
        <v>161</v>
      </c>
      <c r="AJ29" s="210">
        <v>70000</v>
      </c>
      <c r="AT29" s="199"/>
    </row>
    <row r="30" spans="1:46" ht="21" x14ac:dyDescent="0.25">
      <c r="A30" s="49"/>
      <c r="H30" s="49"/>
      <c r="I30" s="49"/>
      <c r="J30" s="192">
        <v>27</v>
      </c>
      <c r="K30" s="187">
        <v>218745</v>
      </c>
      <c r="L30" s="187">
        <v>218810</v>
      </c>
      <c r="M30" s="187">
        <v>218865</v>
      </c>
      <c r="N30" s="187">
        <v>218925</v>
      </c>
      <c r="O30" s="187">
        <v>218984</v>
      </c>
      <c r="P30" s="187">
        <v>219040</v>
      </c>
      <c r="Q30" s="187">
        <v>219104</v>
      </c>
      <c r="R30" s="187">
        <v>219168</v>
      </c>
      <c r="S30" s="187">
        <v>219228</v>
      </c>
      <c r="T30" s="187">
        <v>219293</v>
      </c>
      <c r="U30" s="187">
        <v>219360</v>
      </c>
      <c r="V30" s="186">
        <v>219416</v>
      </c>
      <c r="AI30" s="194" t="s">
        <v>162</v>
      </c>
      <c r="AJ30" s="210">
        <v>2388728</v>
      </c>
      <c r="AK30" s="211">
        <f>AJ30*3</f>
        <v>7166184</v>
      </c>
      <c r="AN30" s="60"/>
      <c r="AO30" s="60"/>
      <c r="AP30" s="60"/>
      <c r="AQ30" s="60"/>
      <c r="AR30" s="60"/>
      <c r="AT30" s="199"/>
    </row>
    <row r="31" spans="1:46" ht="21" customHeight="1" x14ac:dyDescent="0.25">
      <c r="A31" s="49"/>
      <c r="H31" s="49"/>
      <c r="I31" s="49"/>
      <c r="J31" s="192">
        <v>28</v>
      </c>
      <c r="K31" s="187">
        <v>219489</v>
      </c>
      <c r="L31" s="187">
        <v>219562</v>
      </c>
      <c r="M31" s="187">
        <v>219630</v>
      </c>
      <c r="N31" s="187">
        <v>219699</v>
      </c>
      <c r="O31" s="187">
        <v>219766</v>
      </c>
      <c r="P31" s="187">
        <v>219839</v>
      </c>
      <c r="Q31" s="187">
        <v>219903</v>
      </c>
      <c r="R31" s="187">
        <v>219976</v>
      </c>
      <c r="S31" s="187">
        <v>220045</v>
      </c>
      <c r="T31" s="187">
        <v>220105</v>
      </c>
      <c r="U31" s="187">
        <v>220182</v>
      </c>
      <c r="V31" s="186">
        <v>220254</v>
      </c>
      <c r="AN31" s="60"/>
      <c r="AO31" s="60"/>
      <c r="AP31" s="60"/>
      <c r="AQ31" s="60"/>
      <c r="AR31" s="60"/>
      <c r="AT31" s="199"/>
    </row>
    <row r="32" spans="1:46" ht="21" customHeight="1" x14ac:dyDescent="0.25">
      <c r="A32" s="49"/>
      <c r="H32" s="49"/>
      <c r="I32" s="49"/>
      <c r="J32" s="192">
        <v>29</v>
      </c>
      <c r="K32" s="187">
        <v>220301</v>
      </c>
      <c r="L32" s="187">
        <v>220369</v>
      </c>
      <c r="M32" s="187">
        <v>220433</v>
      </c>
      <c r="N32" s="187">
        <v>220493</v>
      </c>
      <c r="O32" s="187">
        <v>220562</v>
      </c>
      <c r="P32" s="187">
        <v>220625</v>
      </c>
      <c r="Q32" s="187">
        <v>220690</v>
      </c>
      <c r="R32" s="187">
        <v>220750</v>
      </c>
      <c r="S32" s="187">
        <v>220822</v>
      </c>
      <c r="T32" s="187">
        <v>220891</v>
      </c>
      <c r="U32" s="187">
        <v>220959</v>
      </c>
      <c r="V32" s="186">
        <v>221028</v>
      </c>
      <c r="AH32" s="221"/>
      <c r="AI32" s="194" t="s">
        <v>180</v>
      </c>
      <c r="AJ32" s="210">
        <v>94000</v>
      </c>
      <c r="AN32" s="60"/>
      <c r="AO32" s="60"/>
      <c r="AP32" s="60"/>
      <c r="AQ32" s="60"/>
      <c r="AR32" s="60"/>
      <c r="AT32"/>
    </row>
    <row r="33" spans="1:54" ht="21" customHeight="1" x14ac:dyDescent="0.25">
      <c r="A33" s="65"/>
      <c r="H33" s="49"/>
      <c r="I33" s="49"/>
      <c r="J33" s="192">
        <v>30</v>
      </c>
      <c r="K33" s="187">
        <v>221105</v>
      </c>
      <c r="L33" s="187">
        <v>221177</v>
      </c>
      <c r="M33" s="187">
        <v>221255</v>
      </c>
      <c r="N33" s="187">
        <v>221327</v>
      </c>
      <c r="O33" s="187">
        <v>221395</v>
      </c>
      <c r="P33" s="187">
        <v>221468</v>
      </c>
      <c r="Q33" s="187">
        <v>221541</v>
      </c>
      <c r="R33" s="187">
        <v>221618</v>
      </c>
      <c r="S33" s="187">
        <v>221686</v>
      </c>
      <c r="T33" s="187">
        <v>221755</v>
      </c>
      <c r="U33" s="187">
        <v>221832</v>
      </c>
      <c r="V33" s="186">
        <v>221904</v>
      </c>
      <c r="AH33" s="221"/>
      <c r="AI33" s="194" t="s">
        <v>162</v>
      </c>
      <c r="AJ33" s="210">
        <f>AJ30*1.45</f>
        <v>3463655.6</v>
      </c>
      <c r="AK33" s="211">
        <f>AJ33*3</f>
        <v>10390966.800000001</v>
      </c>
      <c r="AN33" s="60"/>
      <c r="AO33" s="60"/>
      <c r="AP33" s="60"/>
      <c r="AQ33" s="60"/>
      <c r="AR33" s="60"/>
      <c r="AT33"/>
    </row>
    <row r="34" spans="1:54" ht="21" customHeight="1" x14ac:dyDescent="0.25">
      <c r="A34" s="65"/>
      <c r="H34" s="49"/>
      <c r="I34" s="49"/>
      <c r="J34" s="102"/>
      <c r="AN34" s="60"/>
      <c r="AO34" s="60"/>
      <c r="AP34" s="60"/>
      <c r="AQ34" s="60"/>
      <c r="AR34" s="60"/>
      <c r="AT34" s="201"/>
    </row>
    <row r="35" spans="1:54" ht="21" customHeight="1" x14ac:dyDescent="0.25">
      <c r="A35" s="65"/>
      <c r="H35" s="49"/>
      <c r="I35" s="49"/>
      <c r="J35" s="49"/>
      <c r="AI35" s="209" t="s">
        <v>100</v>
      </c>
      <c r="AJ35" s="187">
        <v>22</v>
      </c>
      <c r="AN35" s="60"/>
      <c r="AO35" s="60"/>
      <c r="AP35" s="60"/>
      <c r="AQ35" s="60"/>
      <c r="AR35" s="60"/>
    </row>
    <row r="36" spans="1:54" ht="21" customHeight="1" x14ac:dyDescent="0.25">
      <c r="A36" s="65"/>
      <c r="H36" s="49"/>
      <c r="I36" s="49"/>
      <c r="J36" s="102"/>
      <c r="V36" s="189"/>
      <c r="W36" s="190"/>
      <c r="X36" s="190"/>
      <c r="Y36" s="190"/>
      <c r="Z36" s="190"/>
      <c r="AA36" s="190"/>
      <c r="AB36" s="190"/>
      <c r="AC36" s="190"/>
      <c r="AD36" s="190"/>
      <c r="AE36" s="190"/>
      <c r="AF36" s="190"/>
      <c r="AG36" s="190"/>
      <c r="AH36" s="190"/>
      <c r="AI36" s="209" t="s">
        <v>155</v>
      </c>
      <c r="AJ36" s="187">
        <v>6900780</v>
      </c>
      <c r="AK36" s="190"/>
      <c r="AL36" s="190"/>
      <c r="AM36" s="190"/>
      <c r="AN36" s="190"/>
      <c r="AO36" s="190"/>
      <c r="AP36" s="190"/>
      <c r="AQ36" s="190"/>
      <c r="AR36" s="190"/>
      <c r="AS36" s="190"/>
      <c r="AT36" s="190"/>
      <c r="AU36" s="190"/>
      <c r="AV36" s="190"/>
      <c r="AW36" s="190"/>
      <c r="AX36" s="190"/>
      <c r="AY36" s="190"/>
      <c r="AZ36" s="190"/>
      <c r="BA36" s="190"/>
      <c r="BB36" s="190"/>
    </row>
    <row r="37" spans="1:54" ht="27" customHeight="1" x14ac:dyDescent="0.25">
      <c r="A37" s="65"/>
      <c r="H37" s="273"/>
      <c r="I37" s="273"/>
      <c r="J37" s="273"/>
      <c r="V37" s="189"/>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row>
    <row r="38" spans="1:54" ht="21.75" customHeight="1" x14ac:dyDescent="0.25">
      <c r="A38" s="65"/>
      <c r="H38" s="107"/>
      <c r="I38" s="64"/>
      <c r="J38" s="49"/>
      <c r="V38" s="189"/>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row>
    <row r="39" spans="1:54" ht="21" x14ac:dyDescent="0.25">
      <c r="A39" s="49"/>
      <c r="H39" s="107"/>
      <c r="I39" s="49"/>
      <c r="J39" s="49"/>
      <c r="V39" s="189"/>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row>
    <row r="40" spans="1:54" ht="21" x14ac:dyDescent="0.25">
      <c r="A40" s="49"/>
      <c r="H40" s="49"/>
      <c r="I40" s="49"/>
      <c r="J40" s="49"/>
      <c r="V40" s="189"/>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row>
    <row r="41" spans="1:54" ht="21" x14ac:dyDescent="0.25">
      <c r="A41" s="49"/>
      <c r="H41" s="49"/>
      <c r="I41" s="49"/>
      <c r="J41" s="49"/>
      <c r="V41" s="189"/>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row>
    <row r="42" spans="1:54" ht="21" x14ac:dyDescent="0.25">
      <c r="A42" s="49"/>
      <c r="H42" s="49"/>
      <c r="I42" s="49"/>
      <c r="J42" s="49"/>
      <c r="V42" s="189"/>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row>
    <row r="43" spans="1:54" ht="21" x14ac:dyDescent="0.25">
      <c r="A43" s="49"/>
      <c r="H43" s="49"/>
      <c r="I43" s="49"/>
      <c r="J43" s="49"/>
      <c r="V43" s="189"/>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row>
    <row r="44" spans="1:54" ht="21" x14ac:dyDescent="0.25">
      <c r="A44" s="49"/>
      <c r="H44" s="49"/>
      <c r="I44" s="49"/>
      <c r="J44" s="49"/>
      <c r="V44" s="189"/>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row>
    <row r="45" spans="1:54" ht="21" x14ac:dyDescent="0.25">
      <c r="A45" s="49"/>
      <c r="H45" s="49"/>
      <c r="I45" s="49"/>
      <c r="J45" s="49"/>
      <c r="V45" s="189"/>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row>
    <row r="46" spans="1:54" ht="21" x14ac:dyDescent="0.25">
      <c r="A46" s="49"/>
      <c r="H46" s="49"/>
      <c r="I46" s="49"/>
      <c r="J46" s="49"/>
      <c r="V46" s="189"/>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row>
    <row r="47" spans="1:54" ht="21" x14ac:dyDescent="0.25">
      <c r="A47" s="49"/>
      <c r="H47" s="49"/>
      <c r="I47" s="49"/>
      <c r="J47" s="49"/>
      <c r="V47" s="189"/>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row>
    <row r="48" spans="1:54" ht="21" x14ac:dyDescent="0.25">
      <c r="A48" s="49"/>
      <c r="H48" s="49"/>
      <c r="I48" s="49"/>
      <c r="J48" s="4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row>
    <row r="49" spans="1:10" x14ac:dyDescent="0.25">
      <c r="A49" s="49"/>
      <c r="H49" s="49"/>
      <c r="I49" s="49"/>
      <c r="J49" s="49"/>
    </row>
    <row r="50" spans="1:10" x14ac:dyDescent="0.25">
      <c r="A50" s="49"/>
      <c r="H50" s="49"/>
      <c r="I50" s="49"/>
      <c r="J50" s="49"/>
    </row>
    <row r="51" spans="1:10" x14ac:dyDescent="0.25">
      <c r="A51" s="49"/>
      <c r="H51" s="49"/>
      <c r="I51" s="49"/>
      <c r="J51" s="49"/>
    </row>
    <row r="52" spans="1:10" x14ac:dyDescent="0.25">
      <c r="A52" s="49"/>
      <c r="H52" s="49"/>
      <c r="I52" s="49"/>
      <c r="J52" s="49"/>
    </row>
    <row r="53" spans="1:10" x14ac:dyDescent="0.25">
      <c r="A53" s="49"/>
      <c r="H53" s="49"/>
      <c r="I53" s="49"/>
      <c r="J53" s="49"/>
    </row>
    <row r="54" spans="1:10" x14ac:dyDescent="0.25">
      <c r="A54" s="49"/>
      <c r="H54" s="49"/>
      <c r="I54" s="49"/>
      <c r="J54" s="49"/>
    </row>
    <row r="55" spans="1:10" x14ac:dyDescent="0.25">
      <c r="A55" s="49"/>
      <c r="H55" s="49"/>
      <c r="I55" s="49"/>
      <c r="J55" s="49"/>
    </row>
    <row r="56" spans="1:10" x14ac:dyDescent="0.25">
      <c r="A56" s="49"/>
      <c r="H56" s="49"/>
      <c r="I56" s="49"/>
      <c r="J56" s="49"/>
    </row>
    <row r="57" spans="1:10" x14ac:dyDescent="0.25">
      <c r="A57" s="49"/>
      <c r="H57" s="49"/>
      <c r="I57" s="49"/>
      <c r="J57" s="49"/>
    </row>
    <row r="58" spans="1:10" x14ac:dyDescent="0.25">
      <c r="A58" s="49"/>
      <c r="H58" s="49"/>
      <c r="I58" s="49"/>
      <c r="J58" s="49"/>
    </row>
    <row r="59" spans="1:10" x14ac:dyDescent="0.25">
      <c r="A59" s="49"/>
      <c r="H59" s="49"/>
      <c r="I59" s="49"/>
      <c r="J59" s="49"/>
    </row>
    <row r="60" spans="1:10" x14ac:dyDescent="0.25">
      <c r="A60" s="49"/>
      <c r="H60" s="49"/>
      <c r="I60" s="49"/>
      <c r="J60" s="49"/>
    </row>
    <row r="61" spans="1:10" x14ac:dyDescent="0.25">
      <c r="A61" s="49"/>
      <c r="H61" s="49"/>
      <c r="I61" s="49"/>
      <c r="J61" s="49"/>
    </row>
    <row r="62" spans="1:10" x14ac:dyDescent="0.25">
      <c r="A62" s="49"/>
      <c r="H62" s="49"/>
      <c r="I62" s="49"/>
      <c r="J62" s="49"/>
    </row>
    <row r="63" spans="1:10" x14ac:dyDescent="0.25">
      <c r="A63" s="49"/>
      <c r="H63" s="49"/>
      <c r="I63" s="49"/>
      <c r="J63" s="49"/>
    </row>
    <row r="64" spans="1:10" x14ac:dyDescent="0.25">
      <c r="A64" s="49"/>
      <c r="H64" s="49"/>
      <c r="I64" s="49"/>
      <c r="J64" s="49"/>
    </row>
    <row r="65" spans="1:10" x14ac:dyDescent="0.25">
      <c r="A65" s="49"/>
      <c r="B65" s="49"/>
      <c r="C65" s="49"/>
      <c r="D65" s="49"/>
      <c r="E65" s="49"/>
      <c r="F65" s="49"/>
      <c r="G65" s="49"/>
      <c r="H65" s="49"/>
      <c r="I65" s="49"/>
      <c r="J65" s="49"/>
    </row>
    <row r="66" spans="1:10" x14ac:dyDescent="0.25">
      <c r="A66" s="49"/>
      <c r="B66" s="49"/>
      <c r="C66" s="49"/>
      <c r="D66" s="49"/>
      <c r="E66" s="49"/>
      <c r="F66" s="49"/>
      <c r="G66" s="49"/>
      <c r="H66" s="49"/>
      <c r="I66" s="49"/>
      <c r="J66" s="49"/>
    </row>
    <row r="67" spans="1:10" x14ac:dyDescent="0.25">
      <c r="A67" s="49"/>
      <c r="B67" s="49"/>
      <c r="C67" s="49"/>
      <c r="D67" s="49"/>
      <c r="E67" s="49"/>
      <c r="F67" s="49"/>
      <c r="G67" s="49"/>
      <c r="H67" s="49"/>
      <c r="I67" s="49"/>
      <c r="J67" s="49"/>
    </row>
    <row r="68" spans="1:10" x14ac:dyDescent="0.25">
      <c r="A68" s="49"/>
      <c r="B68" s="49"/>
      <c r="C68" s="49"/>
      <c r="D68" s="49"/>
      <c r="E68" s="49"/>
      <c r="F68" s="49"/>
      <c r="G68" s="49"/>
      <c r="H68" s="49"/>
      <c r="I68" s="49"/>
      <c r="J68" s="49"/>
    </row>
    <row r="69" spans="1:10" x14ac:dyDescent="0.25">
      <c r="A69" s="49"/>
      <c r="B69" s="49"/>
      <c r="C69" s="49"/>
      <c r="D69" s="49"/>
      <c r="E69" s="49"/>
      <c r="F69" s="49"/>
      <c r="G69" s="49"/>
      <c r="H69" s="49"/>
      <c r="I69" s="49"/>
      <c r="J69" s="49"/>
    </row>
    <row r="70" spans="1:10" x14ac:dyDescent="0.25">
      <c r="A70" s="49"/>
      <c r="B70" s="49"/>
      <c r="C70" s="49"/>
      <c r="D70" s="49"/>
      <c r="E70" s="49"/>
      <c r="F70" s="49"/>
      <c r="G70" s="49"/>
      <c r="H70" s="49"/>
      <c r="I70" s="49"/>
      <c r="J70" s="49"/>
    </row>
    <row r="71" spans="1:10" x14ac:dyDescent="0.25">
      <c r="A71" s="49"/>
      <c r="B71" s="49"/>
      <c r="C71" s="49"/>
      <c r="D71" s="49"/>
      <c r="E71" s="49"/>
      <c r="F71" s="49"/>
      <c r="G71" s="49"/>
      <c r="H71" s="49"/>
      <c r="I71" s="49"/>
      <c r="J71" s="49"/>
    </row>
    <row r="72" spans="1:10" x14ac:dyDescent="0.25">
      <c r="A72" s="49"/>
      <c r="B72" s="49"/>
      <c r="C72" s="49"/>
      <c r="D72" s="49"/>
      <c r="E72" s="49"/>
      <c r="F72" s="49"/>
      <c r="G72" s="49"/>
      <c r="H72" s="49"/>
      <c r="I72" s="49"/>
      <c r="J72" s="49"/>
    </row>
    <row r="73" spans="1:10" x14ac:dyDescent="0.25">
      <c r="A73" s="49"/>
      <c r="B73" s="49"/>
      <c r="C73" s="49"/>
      <c r="D73" s="49"/>
      <c r="E73" s="49"/>
      <c r="F73" s="49"/>
      <c r="G73" s="49"/>
      <c r="H73" s="49"/>
      <c r="I73" s="49"/>
      <c r="J73" s="49"/>
    </row>
    <row r="74" spans="1:10" x14ac:dyDescent="0.25">
      <c r="A74" s="49"/>
      <c r="B74" s="49"/>
      <c r="C74" s="49"/>
      <c r="D74" s="49"/>
      <c r="E74" s="49"/>
      <c r="F74" s="49"/>
      <c r="G74" s="49"/>
      <c r="H74" s="49"/>
      <c r="I74" s="49"/>
      <c r="J74" s="49"/>
    </row>
    <row r="75" spans="1:10" x14ac:dyDescent="0.25">
      <c r="A75" s="49"/>
      <c r="B75" s="49"/>
      <c r="C75" s="49"/>
      <c r="D75" s="49"/>
      <c r="E75" s="49"/>
      <c r="F75" s="49"/>
      <c r="G75" s="49"/>
      <c r="H75" s="49"/>
      <c r="I75" s="49"/>
      <c r="J75" s="49"/>
    </row>
    <row r="76" spans="1:10" x14ac:dyDescent="0.25">
      <c r="A76" s="49"/>
      <c r="B76" s="49"/>
      <c r="C76" s="49"/>
      <c r="D76" s="49"/>
      <c r="E76" s="49"/>
      <c r="F76" s="49"/>
      <c r="G76" s="49"/>
      <c r="H76" s="49"/>
      <c r="I76" s="49"/>
      <c r="J76" s="49"/>
    </row>
    <row r="77" spans="1:10" x14ac:dyDescent="0.25">
      <c r="A77" s="49"/>
      <c r="B77" s="49"/>
      <c r="C77" s="49"/>
      <c r="D77" s="49"/>
      <c r="E77" s="49"/>
      <c r="F77" s="49"/>
      <c r="G77" s="49"/>
      <c r="H77" s="49"/>
      <c r="I77" s="49"/>
      <c r="J77" s="49"/>
    </row>
    <row r="78" spans="1:10" x14ac:dyDescent="0.25">
      <c r="A78" s="49"/>
      <c r="B78" s="49"/>
      <c r="C78" s="49"/>
      <c r="D78" s="49"/>
      <c r="E78" s="49"/>
      <c r="F78" s="49"/>
      <c r="G78" s="49"/>
      <c r="H78" s="49"/>
      <c r="I78" s="49"/>
      <c r="J78" s="49"/>
    </row>
    <row r="79" spans="1:10" x14ac:dyDescent="0.25">
      <c r="A79" s="49"/>
      <c r="B79" s="49"/>
      <c r="C79" s="49"/>
      <c r="D79" s="49"/>
      <c r="E79" s="49"/>
      <c r="F79" s="49"/>
      <c r="G79" s="49"/>
      <c r="H79" s="49"/>
      <c r="I79" s="49"/>
      <c r="J79" s="49"/>
    </row>
    <row r="80" spans="1:10" x14ac:dyDescent="0.25">
      <c r="A80" s="49"/>
      <c r="B80" s="49"/>
      <c r="C80" s="49"/>
      <c r="D80" s="49"/>
      <c r="E80" s="49"/>
      <c r="F80" s="49"/>
      <c r="G80" s="49"/>
      <c r="H80" s="49"/>
      <c r="I80" s="49"/>
      <c r="J80" s="49"/>
    </row>
    <row r="81" spans="1:10" x14ac:dyDescent="0.25">
      <c r="A81" s="49"/>
      <c r="B81" s="49"/>
      <c r="C81" s="49"/>
      <c r="D81" s="49"/>
      <c r="E81" s="49"/>
      <c r="F81" s="49"/>
      <c r="G81" s="49"/>
      <c r="H81" s="49"/>
      <c r="I81" s="49"/>
      <c r="J81" s="49"/>
    </row>
    <row r="82" spans="1:10" x14ac:dyDescent="0.25">
      <c r="A82" s="49"/>
      <c r="B82" s="49"/>
      <c r="C82" s="49"/>
      <c r="D82" s="49"/>
      <c r="E82" s="49"/>
      <c r="F82" s="49"/>
      <c r="G82" s="49"/>
      <c r="H82" s="49"/>
      <c r="I82" s="49"/>
      <c r="J82" s="49"/>
    </row>
    <row r="83" spans="1:10" x14ac:dyDescent="0.25">
      <c r="A83" s="49"/>
      <c r="B83" s="49"/>
      <c r="C83" s="49"/>
      <c r="D83" s="49"/>
      <c r="E83" s="49"/>
      <c r="F83" s="49"/>
      <c r="G83" s="49"/>
      <c r="H83" s="49"/>
      <c r="I83" s="49"/>
      <c r="J83" s="49"/>
    </row>
    <row r="84" spans="1:10" x14ac:dyDescent="0.25">
      <c r="A84" s="49"/>
      <c r="B84" s="49"/>
      <c r="C84" s="49"/>
      <c r="D84" s="49"/>
      <c r="E84" s="49"/>
      <c r="F84" s="49"/>
      <c r="G84" s="49"/>
      <c r="H84" s="49"/>
      <c r="I84" s="49"/>
      <c r="J84" s="49"/>
    </row>
    <row r="85" spans="1:10" x14ac:dyDescent="0.25">
      <c r="A85" s="49"/>
      <c r="B85" s="49"/>
      <c r="C85" s="49"/>
      <c r="D85" s="49"/>
      <c r="E85" s="49"/>
      <c r="F85" s="49"/>
      <c r="G85" s="49"/>
      <c r="H85" s="49"/>
      <c r="I85" s="49"/>
      <c r="J85" s="49"/>
    </row>
    <row r="86" spans="1:10" x14ac:dyDescent="0.25">
      <c r="A86" s="49"/>
      <c r="B86" s="49"/>
      <c r="C86" s="49"/>
      <c r="D86" s="49"/>
      <c r="E86" s="49"/>
      <c r="F86" s="49"/>
      <c r="G86" s="49"/>
      <c r="H86" s="49"/>
      <c r="I86" s="49"/>
      <c r="J86" s="49"/>
    </row>
    <row r="87" spans="1:10" x14ac:dyDescent="0.25">
      <c r="A87" s="49"/>
      <c r="B87" s="49"/>
      <c r="C87" s="49"/>
      <c r="D87" s="49"/>
      <c r="E87" s="49"/>
      <c r="F87" s="49"/>
      <c r="G87" s="49"/>
      <c r="H87" s="49"/>
      <c r="I87" s="49"/>
      <c r="J87" s="49"/>
    </row>
    <row r="88" spans="1:10" x14ac:dyDescent="0.25">
      <c r="A88" s="49"/>
      <c r="B88" s="49"/>
      <c r="C88" s="49"/>
      <c r="D88" s="49"/>
      <c r="E88" s="49"/>
      <c r="F88" s="49"/>
      <c r="G88" s="49"/>
      <c r="H88" s="49"/>
      <c r="I88" s="49"/>
      <c r="J88" s="49"/>
    </row>
    <row r="89" spans="1:10" x14ac:dyDescent="0.25">
      <c r="A89" s="49"/>
      <c r="B89" s="49"/>
      <c r="C89" s="49"/>
      <c r="D89" s="49"/>
      <c r="E89" s="49"/>
      <c r="F89" s="49"/>
      <c r="G89" s="49"/>
      <c r="H89" s="49"/>
      <c r="I89" s="49"/>
      <c r="J89" s="49"/>
    </row>
    <row r="90" spans="1:10" x14ac:dyDescent="0.25">
      <c r="A90" s="49"/>
      <c r="B90" s="49"/>
      <c r="C90" s="49"/>
      <c r="D90" s="49"/>
      <c r="E90" s="49"/>
      <c r="F90" s="49"/>
      <c r="G90" s="49"/>
      <c r="H90" s="49"/>
      <c r="I90" s="49"/>
      <c r="J90" s="49"/>
    </row>
    <row r="91" spans="1:10" x14ac:dyDescent="0.25">
      <c r="A91" s="49"/>
      <c r="B91" s="49"/>
      <c r="C91" s="49"/>
      <c r="D91" s="49"/>
      <c r="E91" s="49"/>
      <c r="F91" s="49"/>
      <c r="G91" s="49"/>
      <c r="H91" s="49"/>
      <c r="I91" s="49"/>
      <c r="J91" s="49"/>
    </row>
    <row r="92" spans="1:10" x14ac:dyDescent="0.25">
      <c r="A92" s="49"/>
      <c r="B92" s="49"/>
      <c r="C92" s="49"/>
      <c r="D92" s="49"/>
      <c r="E92" s="49"/>
      <c r="F92" s="49"/>
      <c r="G92" s="49"/>
      <c r="H92" s="49"/>
      <c r="I92" s="49"/>
      <c r="J92" s="49"/>
    </row>
    <row r="93" spans="1:10" x14ac:dyDescent="0.25">
      <c r="A93" s="49"/>
      <c r="B93" s="49"/>
      <c r="C93" s="49"/>
      <c r="D93" s="49"/>
      <c r="E93" s="49"/>
      <c r="F93" s="49"/>
      <c r="G93" s="49"/>
      <c r="H93" s="49"/>
      <c r="I93" s="49"/>
      <c r="J93" s="49"/>
    </row>
    <row r="94" spans="1:10" x14ac:dyDescent="0.25">
      <c r="A94" s="49"/>
      <c r="B94" s="49"/>
      <c r="C94" s="49"/>
      <c r="D94" s="49"/>
      <c r="E94" s="49"/>
      <c r="F94" s="49"/>
      <c r="G94" s="49"/>
      <c r="H94" s="49"/>
      <c r="I94" s="49"/>
      <c r="J94" s="49"/>
    </row>
    <row r="95" spans="1:10" x14ac:dyDescent="0.25">
      <c r="A95" s="49"/>
      <c r="B95" s="49"/>
      <c r="C95" s="49"/>
      <c r="D95" s="49"/>
      <c r="E95" s="49"/>
      <c r="F95" s="49"/>
      <c r="G95" s="49"/>
      <c r="H95" s="49"/>
      <c r="I95" s="49"/>
      <c r="J95" s="49"/>
    </row>
    <row r="96" spans="1:10" x14ac:dyDescent="0.25">
      <c r="A96" s="49"/>
      <c r="B96" s="49"/>
      <c r="C96" s="49"/>
      <c r="D96" s="49"/>
      <c r="E96" s="49"/>
      <c r="F96" s="49"/>
      <c r="G96" s="49"/>
      <c r="H96" s="49"/>
      <c r="I96" s="49"/>
      <c r="J96" s="49"/>
    </row>
    <row r="97" spans="1:10" x14ac:dyDescent="0.25">
      <c r="A97" s="49"/>
      <c r="B97" s="49"/>
      <c r="C97" s="49"/>
      <c r="D97" s="49"/>
      <c r="E97" s="49"/>
      <c r="F97" s="49"/>
      <c r="G97" s="49"/>
      <c r="H97" s="49"/>
      <c r="I97" s="49"/>
      <c r="J97" s="49"/>
    </row>
    <row r="98" spans="1:10" x14ac:dyDescent="0.25">
      <c r="A98" s="49"/>
      <c r="B98" s="49"/>
      <c r="C98" s="49"/>
      <c r="D98" s="49"/>
      <c r="E98" s="49"/>
      <c r="F98" s="49"/>
      <c r="G98" s="49"/>
      <c r="H98" s="49"/>
      <c r="I98" s="49"/>
      <c r="J98" s="49"/>
    </row>
    <row r="99" spans="1:10" x14ac:dyDescent="0.25">
      <c r="A99" s="49"/>
      <c r="B99" s="49"/>
      <c r="C99" s="49"/>
      <c r="D99" s="49"/>
      <c r="E99" s="49"/>
      <c r="F99" s="49"/>
      <c r="G99" s="49"/>
      <c r="H99" s="49"/>
      <c r="I99" s="49"/>
      <c r="J99" s="49"/>
    </row>
    <row r="100" spans="1:10" x14ac:dyDescent="0.25">
      <c r="A100" s="49"/>
      <c r="B100" s="49"/>
      <c r="C100" s="49"/>
      <c r="D100" s="49"/>
      <c r="E100" s="49"/>
      <c r="F100" s="49"/>
      <c r="G100" s="49"/>
      <c r="H100" s="49"/>
      <c r="I100" s="49"/>
      <c r="J100" s="49"/>
    </row>
    <row r="101" spans="1:10" x14ac:dyDescent="0.25">
      <c r="A101" s="49"/>
      <c r="B101" s="49"/>
      <c r="C101" s="49"/>
      <c r="D101" s="49"/>
      <c r="E101" s="49"/>
      <c r="F101" s="49"/>
      <c r="G101" s="49"/>
      <c r="H101" s="49"/>
      <c r="I101" s="49"/>
      <c r="J101" s="49"/>
    </row>
    <row r="102" spans="1:10" x14ac:dyDescent="0.25">
      <c r="A102" s="49"/>
      <c r="B102" s="49"/>
      <c r="C102" s="49"/>
      <c r="D102" s="49"/>
      <c r="E102" s="49"/>
      <c r="F102" s="49"/>
      <c r="G102" s="49"/>
      <c r="H102" s="49"/>
      <c r="I102" s="49"/>
      <c r="J102" s="49"/>
    </row>
    <row r="103" spans="1:10" x14ac:dyDescent="0.25">
      <c r="A103" s="49"/>
      <c r="B103" s="49"/>
      <c r="C103" s="49"/>
      <c r="D103" s="49"/>
      <c r="E103" s="49"/>
      <c r="F103" s="49"/>
      <c r="G103" s="49"/>
      <c r="H103" s="49"/>
      <c r="I103" s="49"/>
      <c r="J103" s="49"/>
    </row>
    <row r="104" spans="1:10" x14ac:dyDescent="0.25">
      <c r="A104" s="49"/>
      <c r="B104" s="49"/>
      <c r="C104" s="49"/>
      <c r="D104" s="49"/>
      <c r="E104" s="49"/>
      <c r="F104" s="49"/>
      <c r="G104" s="49"/>
      <c r="H104" s="49"/>
      <c r="I104" s="49"/>
      <c r="J104" s="49"/>
    </row>
    <row r="105" spans="1:10" x14ac:dyDescent="0.25">
      <c r="A105" s="49"/>
      <c r="B105" s="49"/>
      <c r="C105" s="49"/>
      <c r="D105" s="49"/>
      <c r="E105" s="49"/>
      <c r="F105" s="49"/>
      <c r="G105" s="49"/>
      <c r="H105" s="49"/>
      <c r="I105" s="49"/>
      <c r="J105" s="49"/>
    </row>
    <row r="106" spans="1:10" x14ac:dyDescent="0.25">
      <c r="A106" s="49"/>
      <c r="B106" s="49"/>
      <c r="C106" s="49"/>
      <c r="D106" s="49"/>
      <c r="E106" s="49"/>
      <c r="F106" s="49"/>
      <c r="G106" s="49"/>
      <c r="H106" s="49"/>
      <c r="I106" s="49"/>
      <c r="J106" s="49"/>
    </row>
    <row r="107" spans="1:10" x14ac:dyDescent="0.25">
      <c r="A107" s="49"/>
      <c r="B107" s="49"/>
      <c r="C107" s="49"/>
      <c r="D107" s="49"/>
      <c r="E107" s="49"/>
      <c r="F107" s="49"/>
      <c r="G107" s="49"/>
      <c r="H107" s="49"/>
      <c r="I107" s="49"/>
      <c r="J107" s="49"/>
    </row>
    <row r="108" spans="1:10" x14ac:dyDescent="0.25">
      <c r="A108" s="49"/>
      <c r="B108" s="49"/>
      <c r="C108" s="49"/>
      <c r="D108" s="49"/>
      <c r="E108" s="49"/>
      <c r="F108" s="49"/>
      <c r="G108" s="49"/>
      <c r="H108" s="49"/>
      <c r="I108" s="49"/>
      <c r="J108" s="49"/>
    </row>
    <row r="109" spans="1:10" x14ac:dyDescent="0.25">
      <c r="A109" s="49"/>
      <c r="B109" s="49"/>
      <c r="C109" s="49"/>
      <c r="D109" s="49"/>
      <c r="E109" s="49"/>
      <c r="F109" s="49"/>
      <c r="G109" s="49"/>
      <c r="H109" s="49"/>
      <c r="I109" s="49"/>
      <c r="J109" s="49"/>
    </row>
    <row r="110" spans="1:10" x14ac:dyDescent="0.25">
      <c r="A110" s="49"/>
      <c r="B110" s="49"/>
      <c r="C110" s="49"/>
      <c r="D110" s="49"/>
      <c r="E110" s="49"/>
      <c r="F110" s="49"/>
      <c r="G110" s="49"/>
      <c r="H110" s="49"/>
      <c r="I110" s="49"/>
      <c r="J110" s="49"/>
    </row>
    <row r="111" spans="1:10" x14ac:dyDescent="0.25">
      <c r="A111" s="49"/>
      <c r="B111" s="49"/>
      <c r="C111" s="49"/>
      <c r="D111" s="49"/>
      <c r="E111" s="49"/>
      <c r="F111" s="49"/>
      <c r="G111" s="49"/>
      <c r="H111" s="49"/>
      <c r="I111" s="49"/>
      <c r="J111" s="49"/>
    </row>
    <row r="112" spans="1:10" x14ac:dyDescent="0.25">
      <c r="A112" s="49"/>
      <c r="B112" s="49"/>
      <c r="C112" s="49"/>
      <c r="D112" s="49"/>
      <c r="E112" s="49"/>
      <c r="F112" s="49"/>
      <c r="G112" s="49"/>
      <c r="H112" s="49"/>
      <c r="I112" s="49"/>
      <c r="J112" s="49"/>
    </row>
    <row r="113" spans="1:10" x14ac:dyDescent="0.25">
      <c r="A113" s="49"/>
      <c r="B113" s="49"/>
      <c r="C113" s="49"/>
      <c r="D113" s="49"/>
      <c r="E113" s="49"/>
      <c r="F113" s="49"/>
      <c r="G113" s="49"/>
      <c r="H113" s="49"/>
      <c r="I113" s="49"/>
      <c r="J113" s="49"/>
    </row>
    <row r="114" spans="1:10" x14ac:dyDescent="0.25">
      <c r="A114" s="49"/>
      <c r="B114" s="49"/>
      <c r="C114" s="49"/>
      <c r="D114" s="49"/>
      <c r="E114" s="49"/>
      <c r="F114" s="49"/>
      <c r="G114" s="49"/>
      <c r="H114" s="49"/>
      <c r="I114" s="49"/>
      <c r="J114" s="49"/>
    </row>
    <row r="115" spans="1:10" x14ac:dyDescent="0.25">
      <c r="A115" s="49"/>
      <c r="B115" s="49"/>
      <c r="C115" s="49"/>
      <c r="D115" s="49"/>
      <c r="E115" s="49"/>
      <c r="F115" s="49"/>
      <c r="G115" s="49"/>
      <c r="H115" s="49"/>
      <c r="I115" s="49"/>
      <c r="J115" s="49"/>
    </row>
    <row r="116" spans="1:10" x14ac:dyDescent="0.25">
      <c r="A116" s="49"/>
      <c r="B116" s="49"/>
      <c r="C116" s="49"/>
      <c r="D116" s="49"/>
      <c r="E116" s="49"/>
      <c r="F116" s="49"/>
      <c r="G116" s="49"/>
      <c r="H116" s="49"/>
      <c r="I116" s="49"/>
      <c r="J116" s="49"/>
    </row>
    <row r="117" spans="1:10" x14ac:dyDescent="0.25">
      <c r="A117" s="49"/>
      <c r="B117" s="49"/>
      <c r="C117" s="49"/>
      <c r="D117" s="49"/>
      <c r="E117" s="49"/>
      <c r="F117" s="49"/>
      <c r="G117" s="49"/>
      <c r="H117" s="49"/>
      <c r="I117" s="49"/>
      <c r="J117" s="49"/>
    </row>
    <row r="118" spans="1:10" x14ac:dyDescent="0.25">
      <c r="A118" s="49"/>
      <c r="B118" s="49"/>
      <c r="C118" s="49"/>
      <c r="D118" s="49"/>
      <c r="E118" s="49"/>
      <c r="F118" s="49"/>
      <c r="G118" s="49"/>
      <c r="H118" s="49"/>
      <c r="I118" s="49"/>
      <c r="J118" s="49"/>
    </row>
  </sheetData>
  <sheetProtection formatCells="0" formatColumns="0" formatRows="0" insertColumns="0" insertRows="0" insertHyperlinks="0" deleteColumns="0" deleteRows="0" sort="0" autoFilter="0" pivotTables="0"/>
  <mergeCells count="7">
    <mergeCell ref="B3:C3"/>
    <mergeCell ref="B5:C5"/>
    <mergeCell ref="H37:J37"/>
    <mergeCell ref="AN2:AO2"/>
    <mergeCell ref="AI2:AI3"/>
    <mergeCell ref="AJ2:AK2"/>
    <mergeCell ref="AL2:AM2"/>
  </mergeCells>
  <dataValidations count="1">
    <dataValidation type="list" allowBlank="1" showInputMessage="1" showErrorMessage="1" errorTitle="اخطار" error="در صورتی که مشمول طرح طبقه بندی مشاغل هستید شماره گروه خود را وارد نمایید (یک تا بیست) در غیر اینصورت عدد یک (1) را وارد نمایید" sqref="D3" xr:uid="{00000000-0002-0000-0100-000000000000}">
      <formula1>$AI$4:$AI$23</formula1>
    </dataValidation>
  </dataValidations>
  <printOptions horizontalCentered="1"/>
  <pageMargins left="0.31496062992125984"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40</xdr:col>
                    <xdr:colOff>9525</xdr:colOff>
                    <xdr:row>30</xdr:row>
                    <xdr:rowOff>0</xdr:rowOff>
                  </from>
                  <to>
                    <xdr:col>45</xdr:col>
                    <xdr:colOff>1323975</xdr:colOff>
                    <xdr:row>30</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790575</xdr:colOff>
                    <xdr:row>4</xdr:row>
                    <xdr:rowOff>76200</xdr:rowOff>
                  </from>
                  <to>
                    <xdr:col>13</xdr:col>
                    <xdr:colOff>161925</xdr:colOff>
                    <xdr:row>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1:AQ84"/>
  <sheetViews>
    <sheetView rightToLeft="1" workbookViewId="0">
      <selection activeCell="H7" sqref="H7"/>
    </sheetView>
  </sheetViews>
  <sheetFormatPr defaultColWidth="9" defaultRowHeight="15" x14ac:dyDescent="0.25"/>
  <cols>
    <col min="1" max="6" width="9" style="101"/>
    <col min="7" max="7" width="36.28515625" style="101" bestFit="1" customWidth="1"/>
    <col min="8" max="8" width="10.28515625" style="101" bestFit="1" customWidth="1"/>
    <col min="9" max="9" width="9" style="101"/>
    <col min="10" max="10" width="10.140625" style="101" bestFit="1" customWidth="1"/>
    <col min="11" max="23" width="9" style="101"/>
    <col min="24" max="24" width="8.140625" style="50" customWidth="1"/>
    <col min="25" max="25" width="18.7109375" style="50" customWidth="1"/>
    <col min="26" max="26" width="11.7109375" style="50" customWidth="1"/>
    <col min="27" max="27" width="12.7109375" style="50" customWidth="1"/>
    <col min="28" max="28" width="11.7109375" style="50" customWidth="1"/>
    <col min="29" max="29" width="12.7109375" style="50" customWidth="1"/>
    <col min="30" max="30" width="13.85546875" style="50" bestFit="1" customWidth="1"/>
    <col min="31" max="35" width="9.140625" style="50"/>
    <col min="36" max="36" width="14.7109375" style="50" customWidth="1"/>
    <col min="37" max="37" width="9.140625" style="50"/>
    <col min="38" max="38" width="11.28515625" style="50" bestFit="1" customWidth="1"/>
    <col min="39" max="39" width="9.140625" style="50"/>
    <col min="40" max="40" width="12.7109375" style="50" bestFit="1" customWidth="1"/>
    <col min="41" max="41" width="9.140625" style="50"/>
    <col min="42" max="42" width="16.28515625" style="50" bestFit="1" customWidth="1"/>
    <col min="43" max="43" width="10.28515625" style="50" customWidth="1"/>
    <col min="44" max="16384" width="9" style="101"/>
  </cols>
  <sheetData>
    <row r="1" spans="2:29" ht="15.75" thickBot="1" x14ac:dyDescent="0.3">
      <c r="C1" s="115"/>
      <c r="O1" s="101">
        <v>0</v>
      </c>
      <c r="U1" s="101">
        <v>0</v>
      </c>
    </row>
    <row r="2" spans="2:29" x14ac:dyDescent="0.25">
      <c r="B2" s="116"/>
      <c r="C2" s="117">
        <v>4</v>
      </c>
      <c r="D2" s="118" t="s">
        <v>29</v>
      </c>
      <c r="E2" s="115" t="s">
        <v>26</v>
      </c>
      <c r="L2" s="101">
        <v>0</v>
      </c>
      <c r="M2" s="101">
        <v>0</v>
      </c>
      <c r="O2" s="101">
        <v>700</v>
      </c>
      <c r="Q2" s="119" t="s">
        <v>43</v>
      </c>
      <c r="S2" s="101" t="s">
        <v>8</v>
      </c>
      <c r="U2" s="101">
        <v>1</v>
      </c>
    </row>
    <row r="3" spans="2:29" ht="15.75" thickBot="1" x14ac:dyDescent="0.3">
      <c r="C3" s="117">
        <v>5</v>
      </c>
      <c r="D3" s="118" t="s">
        <v>30</v>
      </c>
      <c r="E3" s="115" t="s">
        <v>23</v>
      </c>
      <c r="L3" s="101">
        <v>210</v>
      </c>
      <c r="M3" s="101">
        <v>810</v>
      </c>
      <c r="O3" s="101">
        <v>1500</v>
      </c>
      <c r="Q3" s="120" t="s">
        <v>44</v>
      </c>
      <c r="S3" s="101" t="s">
        <v>9</v>
      </c>
      <c r="U3" s="101">
        <v>2</v>
      </c>
    </row>
    <row r="4" spans="2:29" ht="21.75" thickBot="1" x14ac:dyDescent="0.3">
      <c r="C4" s="117">
        <v>6</v>
      </c>
      <c r="D4" s="118" t="s">
        <v>31</v>
      </c>
      <c r="E4" s="115" t="s">
        <v>24</v>
      </c>
      <c r="L4" s="101">
        <v>420</v>
      </c>
      <c r="O4" s="101">
        <v>2000</v>
      </c>
      <c r="U4" s="101">
        <v>3</v>
      </c>
      <c r="Y4" s="121" t="s">
        <v>36</v>
      </c>
      <c r="Z4" s="122"/>
      <c r="AA4" s="123" t="s">
        <v>42</v>
      </c>
      <c r="AB4" s="124" t="s">
        <v>47</v>
      </c>
      <c r="AC4" s="123" t="s">
        <v>47</v>
      </c>
    </row>
    <row r="5" spans="2:29" ht="22.5" x14ac:dyDescent="0.55000000000000004">
      <c r="C5" s="117">
        <v>7</v>
      </c>
      <c r="D5" s="118" t="s">
        <v>32</v>
      </c>
      <c r="E5" s="115" t="s">
        <v>25</v>
      </c>
      <c r="L5" s="101">
        <v>630</v>
      </c>
      <c r="U5" s="101">
        <v>4</v>
      </c>
      <c r="Y5" s="125" t="s">
        <v>26</v>
      </c>
      <c r="Z5" s="1">
        <v>1300</v>
      </c>
      <c r="AA5" s="2">
        <f>IF(Y5=Sheet2!H24,Z5,0)</f>
        <v>0</v>
      </c>
      <c r="AB5" s="1">
        <v>18</v>
      </c>
      <c r="AC5" s="2">
        <f>IF(Sheet2!H24=Y5,AB5,0)</f>
        <v>0</v>
      </c>
    </row>
    <row r="6" spans="2:29" ht="22.5" x14ac:dyDescent="0.55000000000000004">
      <c r="C6" s="117">
        <v>8</v>
      </c>
      <c r="D6" s="118" t="s">
        <v>33</v>
      </c>
      <c r="E6" s="115" t="s">
        <v>34</v>
      </c>
      <c r="L6" s="101">
        <v>840</v>
      </c>
      <c r="U6" s="101">
        <v>5</v>
      </c>
      <c r="Y6" s="126" t="s">
        <v>23</v>
      </c>
      <c r="Z6" s="3">
        <v>1450</v>
      </c>
      <c r="AA6" s="4">
        <f>IF(Y6=Sheet2!H24,Z6,0)</f>
        <v>0</v>
      </c>
      <c r="AB6" s="3">
        <v>25</v>
      </c>
      <c r="AC6" s="2">
        <f>IF(Sheet2!H24=Y6,AB6,0)</f>
        <v>0</v>
      </c>
    </row>
    <row r="7" spans="2:29" ht="22.5" x14ac:dyDescent="0.55000000000000004">
      <c r="C7" s="117">
        <v>9</v>
      </c>
      <c r="E7" s="115" t="s">
        <v>35</v>
      </c>
      <c r="L7" s="101">
        <v>1050</v>
      </c>
      <c r="U7" s="101">
        <v>6</v>
      </c>
      <c r="Y7" s="126" t="s">
        <v>24</v>
      </c>
      <c r="Z7" s="3">
        <v>1700</v>
      </c>
      <c r="AA7" s="4">
        <f>IF(Y7=Sheet2!H24,Z7,0)</f>
        <v>0</v>
      </c>
      <c r="AB7" s="3">
        <v>32</v>
      </c>
      <c r="AC7" s="2">
        <f>IF(Sheet2!H24=Y7,AB7,0)</f>
        <v>0</v>
      </c>
    </row>
    <row r="8" spans="2:29" ht="22.5" x14ac:dyDescent="0.55000000000000004">
      <c r="C8" s="117">
        <v>10</v>
      </c>
      <c r="L8" s="101">
        <v>1260</v>
      </c>
      <c r="U8" s="101">
        <v>7</v>
      </c>
      <c r="Y8" s="126" t="s">
        <v>25</v>
      </c>
      <c r="Z8" s="3">
        <v>2100</v>
      </c>
      <c r="AA8" s="4">
        <f>IF(Y8=Sheet2!H24,Z8,0)</f>
        <v>2100</v>
      </c>
      <c r="AB8" s="3">
        <v>39</v>
      </c>
      <c r="AC8" s="2">
        <f>IF(Sheet2!H24=Y8,AB8,0)</f>
        <v>39</v>
      </c>
    </row>
    <row r="9" spans="2:29" ht="23.25" thickBot="1" x14ac:dyDescent="0.6">
      <c r="C9" s="117">
        <v>11</v>
      </c>
      <c r="G9" s="278"/>
      <c r="H9" s="278"/>
      <c r="L9" s="101">
        <v>1470</v>
      </c>
      <c r="U9" s="101">
        <v>8</v>
      </c>
      <c r="Y9" s="126" t="s">
        <v>34</v>
      </c>
      <c r="Z9" s="3">
        <v>2600</v>
      </c>
      <c r="AA9" s="4">
        <f>IF(Y9=Sheet2!H24,Z9,0)</f>
        <v>0</v>
      </c>
      <c r="AB9" s="3">
        <v>46</v>
      </c>
      <c r="AC9" s="2">
        <f>IF(Sheet2!H24=Y9,AB9,0)</f>
        <v>0</v>
      </c>
    </row>
    <row r="10" spans="2:29" ht="24.75" thickBot="1" x14ac:dyDescent="0.6">
      <c r="C10" s="117">
        <v>12</v>
      </c>
      <c r="G10" s="100" t="s">
        <v>114</v>
      </c>
      <c r="H10" s="127">
        <v>0</v>
      </c>
      <c r="L10" s="101">
        <v>1680</v>
      </c>
      <c r="U10" s="101">
        <v>9</v>
      </c>
      <c r="Y10" s="128" t="s">
        <v>35</v>
      </c>
      <c r="Z10" s="5">
        <v>3100</v>
      </c>
      <c r="AA10" s="6">
        <f>IF(Y10=Sheet2!H24,Z10,0)</f>
        <v>0</v>
      </c>
      <c r="AB10" s="5">
        <v>53</v>
      </c>
      <c r="AC10" s="20">
        <f>IF(Sheet2!H24=Y10,AB10,0)</f>
        <v>0</v>
      </c>
    </row>
    <row r="11" spans="2:29" ht="23.25" thickBot="1" x14ac:dyDescent="0.6">
      <c r="C11" s="117">
        <v>13</v>
      </c>
      <c r="U11" s="101">
        <v>10</v>
      </c>
      <c r="Y11" s="287" t="s">
        <v>42</v>
      </c>
      <c r="Z11" s="288"/>
      <c r="AA11" s="32">
        <f>SUM(AA5:AA10)</f>
        <v>2100</v>
      </c>
      <c r="AB11" s="24">
        <f>SUM(AC5:AC10)</f>
        <v>39</v>
      </c>
      <c r="AC11" s="21">
        <f>(AB11*Sheet2!H26)+((Sheet2!H27/12)*AB11)</f>
        <v>0</v>
      </c>
    </row>
    <row r="12" spans="2:29" ht="22.5" x14ac:dyDescent="0.55000000000000004">
      <c r="C12" s="117">
        <v>14</v>
      </c>
      <c r="U12" s="101">
        <v>11</v>
      </c>
      <c r="Y12" s="296" t="s">
        <v>50</v>
      </c>
      <c r="Z12" s="297"/>
      <c r="AA12" s="297"/>
      <c r="AB12" s="298"/>
      <c r="AC12" s="22">
        <f>Sheet2!H28/2</f>
        <v>0</v>
      </c>
    </row>
    <row r="13" spans="2:29" ht="23.25" thickBot="1" x14ac:dyDescent="0.6">
      <c r="C13" s="117">
        <v>15</v>
      </c>
      <c r="U13" s="101">
        <v>12</v>
      </c>
      <c r="Y13" s="299" t="s">
        <v>51</v>
      </c>
      <c r="Z13" s="300"/>
      <c r="AA13" s="300"/>
      <c r="AB13" s="300"/>
      <c r="AC13" s="23">
        <f>AC11+AC12</f>
        <v>0</v>
      </c>
    </row>
    <row r="14" spans="2:29" ht="20.25" thickBot="1" x14ac:dyDescent="0.55000000000000004">
      <c r="C14" s="117">
        <v>16</v>
      </c>
      <c r="G14" s="278" t="s">
        <v>61</v>
      </c>
      <c r="H14" s="278"/>
      <c r="U14" s="101">
        <v>13</v>
      </c>
    </row>
    <row r="15" spans="2:29" ht="21" x14ac:dyDescent="0.25">
      <c r="C15" s="117">
        <v>17</v>
      </c>
      <c r="G15" s="41" t="s">
        <v>59</v>
      </c>
      <c r="H15" s="129">
        <v>0</v>
      </c>
      <c r="U15" s="101">
        <v>14</v>
      </c>
    </row>
    <row r="16" spans="2:29" ht="21.75" thickBot="1" x14ac:dyDescent="0.3">
      <c r="G16" s="43" t="s">
        <v>60</v>
      </c>
      <c r="H16" s="130">
        <v>0</v>
      </c>
      <c r="U16" s="101">
        <v>15</v>
      </c>
    </row>
    <row r="17" spans="7:36" ht="15.75" thickBot="1" x14ac:dyDescent="0.3">
      <c r="U17" s="101">
        <v>16</v>
      </c>
    </row>
    <row r="18" spans="7:36" x14ac:dyDescent="0.25">
      <c r="G18" s="280" t="s">
        <v>62</v>
      </c>
      <c r="H18" s="280"/>
      <c r="U18" s="101">
        <v>17</v>
      </c>
    </row>
    <row r="19" spans="7:36" ht="18.75" thickBot="1" x14ac:dyDescent="0.5">
      <c r="G19" s="281"/>
      <c r="H19" s="281"/>
      <c r="U19" s="101">
        <v>18</v>
      </c>
      <c r="AD19" s="62"/>
      <c r="AE19" s="61"/>
      <c r="AF19" s="174" t="s">
        <v>43</v>
      </c>
      <c r="AG19" s="174" t="s">
        <v>44</v>
      </c>
      <c r="AH19" s="174"/>
      <c r="AI19" s="174"/>
      <c r="AJ19" s="60"/>
    </row>
    <row r="20" spans="7:36" ht="18.75" thickBot="1" x14ac:dyDescent="0.5">
      <c r="U20" s="101">
        <v>19</v>
      </c>
      <c r="AD20" s="62"/>
      <c r="AE20" s="61"/>
      <c r="AF20" s="169">
        <v>0</v>
      </c>
      <c r="AG20" s="169">
        <v>0</v>
      </c>
      <c r="AH20" s="168" t="e">
        <f>IF('دستمزد 1404'!#REF!=0,0,0)</f>
        <v>#REF!</v>
      </c>
      <c r="AI20" s="168" t="e">
        <f>IF('دستمزد 1404'!#REF!=0,0,0)</f>
        <v>#REF!</v>
      </c>
      <c r="AJ20" s="60"/>
    </row>
    <row r="21" spans="7:36" ht="21.75" thickBot="1" x14ac:dyDescent="0.5">
      <c r="G21" s="282" t="s">
        <v>41</v>
      </c>
      <c r="H21" s="283"/>
      <c r="U21" s="101">
        <v>20</v>
      </c>
      <c r="AD21" s="62"/>
      <c r="AE21" s="61"/>
      <c r="AF21" s="169">
        <v>10</v>
      </c>
      <c r="AG21" s="169">
        <v>9</v>
      </c>
      <c r="AH21" s="168" t="e">
        <f>IF('دستمزد 1404'!#REF!=1,AF21,0)</f>
        <v>#REF!</v>
      </c>
      <c r="AI21" s="168" t="e">
        <f>IF('دستمزد 1404'!#REF!=1,AG21,0)</f>
        <v>#REF!</v>
      </c>
      <c r="AJ21" s="60"/>
    </row>
    <row r="22" spans="7:36" ht="22.5" x14ac:dyDescent="0.55000000000000004">
      <c r="G22" s="42" t="s">
        <v>27</v>
      </c>
      <c r="H22" s="131">
        <v>5</v>
      </c>
      <c r="U22" s="101">
        <v>21</v>
      </c>
      <c r="X22" s="29" t="s">
        <v>37</v>
      </c>
      <c r="Y22" s="30" t="s">
        <v>0</v>
      </c>
      <c r="Z22" s="31"/>
      <c r="AA22" s="101"/>
      <c r="AB22" s="101"/>
      <c r="AC22" s="101"/>
      <c r="AD22" s="62"/>
      <c r="AE22" s="61"/>
      <c r="AF22" s="169">
        <v>12</v>
      </c>
      <c r="AG22" s="169">
        <v>11</v>
      </c>
      <c r="AH22" s="168" t="e">
        <f>IF('دستمزد 1404'!#REF!=2,AF22,0)</f>
        <v>#REF!</v>
      </c>
      <c r="AI22" s="168" t="e">
        <f>IF('دستمزد 1404'!#REF!=2,AG22,0)</f>
        <v>#REF!</v>
      </c>
      <c r="AJ22" s="60"/>
    </row>
    <row r="23" spans="7:36" ht="22.5" x14ac:dyDescent="0.55000000000000004">
      <c r="G23" s="42" t="s">
        <v>28</v>
      </c>
      <c r="H23" s="131" t="s">
        <v>29</v>
      </c>
      <c r="U23" s="101">
        <v>22</v>
      </c>
      <c r="X23" s="28">
        <v>1</v>
      </c>
      <c r="Y23" s="7">
        <v>2400</v>
      </c>
      <c r="Z23" s="11">
        <f>IF(X23=Sheet2!H22,Y23,0)</f>
        <v>0</v>
      </c>
      <c r="AA23" s="101"/>
      <c r="AB23" s="101"/>
      <c r="AC23" s="101"/>
      <c r="AD23" s="62"/>
      <c r="AE23" s="61"/>
      <c r="AF23" s="169">
        <v>15</v>
      </c>
      <c r="AG23" s="169">
        <v>14</v>
      </c>
      <c r="AH23" s="168" t="e">
        <f>IF('دستمزد 1404'!#REF!=3,AF23,0)</f>
        <v>#REF!</v>
      </c>
      <c r="AI23" s="168" t="e">
        <f>IF('دستمزد 1404'!#REF!=3,AG23,0)</f>
        <v>#REF!</v>
      </c>
      <c r="AJ23" s="60"/>
    </row>
    <row r="24" spans="7:36" ht="22.5" x14ac:dyDescent="0.55000000000000004">
      <c r="G24" s="42" t="s">
        <v>22</v>
      </c>
      <c r="H24" s="131" t="s">
        <v>25</v>
      </c>
      <c r="U24" s="101">
        <v>23</v>
      </c>
      <c r="X24" s="44">
        <v>2</v>
      </c>
      <c r="Y24" s="45">
        <v>2600</v>
      </c>
      <c r="Z24" s="4">
        <f>IF(X24=Sheet2!H22,Y24,0)</f>
        <v>0</v>
      </c>
      <c r="AA24" s="101"/>
      <c r="AB24" s="101"/>
      <c r="AC24" s="101"/>
      <c r="AD24" s="62"/>
      <c r="AE24" s="61"/>
      <c r="AF24" s="169">
        <v>18</v>
      </c>
      <c r="AG24" s="169">
        <v>17</v>
      </c>
      <c r="AH24" s="168" t="e">
        <f>IF('دستمزد 1404'!#REF!=4,AF24,0)</f>
        <v>#REF!</v>
      </c>
      <c r="AI24" s="168" t="e">
        <f>IF('دستمزد 1404'!#REF!=4,AG24,0)</f>
        <v>#REF!</v>
      </c>
      <c r="AJ24" s="60"/>
    </row>
    <row r="25" spans="7:36" ht="22.5" x14ac:dyDescent="0.55000000000000004">
      <c r="G25" s="42" t="s">
        <v>45</v>
      </c>
      <c r="H25" s="131" t="s">
        <v>43</v>
      </c>
      <c r="U25" s="101">
        <v>24</v>
      </c>
      <c r="X25" s="28">
        <v>3</v>
      </c>
      <c r="Y25" s="7">
        <v>2800</v>
      </c>
      <c r="Z25" s="11">
        <f>IF(X25=Sheet2!H22,Y25,0)</f>
        <v>0</v>
      </c>
      <c r="AA25" s="101"/>
      <c r="AB25" s="101"/>
      <c r="AC25" s="101"/>
      <c r="AD25" s="62"/>
      <c r="AE25" s="61"/>
      <c r="AF25" s="169">
        <v>21</v>
      </c>
      <c r="AG25" s="169">
        <v>20</v>
      </c>
      <c r="AH25" s="168" t="e">
        <f>IF('دستمزد 1404'!#REF!=5,AF25,0)</f>
        <v>#REF!</v>
      </c>
      <c r="AI25" s="168" t="e">
        <f>IF('دستمزد 1404'!#REF!=5,AG25,0)</f>
        <v>#REF!</v>
      </c>
      <c r="AJ25" s="60"/>
    </row>
    <row r="26" spans="7:36" ht="22.5" x14ac:dyDescent="0.55000000000000004">
      <c r="G26" s="42" t="s">
        <v>46</v>
      </c>
      <c r="H26" s="131">
        <v>0</v>
      </c>
      <c r="U26" s="101">
        <v>25</v>
      </c>
      <c r="X26" s="44">
        <v>4</v>
      </c>
      <c r="Y26" s="45">
        <v>3000</v>
      </c>
      <c r="Z26" s="4">
        <f>IF(X26=Sheet2!H22,Y26,0)</f>
        <v>0</v>
      </c>
      <c r="AA26" s="101"/>
      <c r="AB26" s="101"/>
      <c r="AC26" s="101"/>
      <c r="AD26" s="62"/>
      <c r="AE26" s="61"/>
      <c r="AF26" s="170" t="e">
        <f>IF('دستمزد 1404'!#REF!=0,0,('دستمزد 1404'!#REF!*100)/AF27)</f>
        <v>#REF!</v>
      </c>
      <c r="AG26" s="171" t="e">
        <f>IF('دستمزد 1404'!#REF!="ابتدایی",AH26,AI26)</f>
        <v>#REF!</v>
      </c>
      <c r="AH26" s="172" t="e">
        <f>SUM(AH20:AH25)</f>
        <v>#REF!</v>
      </c>
      <c r="AI26" s="172" t="e">
        <f>SUM(AI20:AI25)</f>
        <v>#REF!</v>
      </c>
      <c r="AJ26" s="60"/>
    </row>
    <row r="27" spans="7:36" ht="23.25" thickBot="1" x14ac:dyDescent="0.6">
      <c r="G27" s="42" t="s">
        <v>48</v>
      </c>
      <c r="H27" s="131">
        <v>0</v>
      </c>
      <c r="U27" s="101">
        <v>26</v>
      </c>
      <c r="X27" s="28">
        <v>5</v>
      </c>
      <c r="Y27" s="7">
        <v>3200</v>
      </c>
      <c r="Z27" s="11">
        <f>IF(X27=Sheet2!H22,Y27,0)</f>
        <v>3200</v>
      </c>
      <c r="AA27" s="101"/>
      <c r="AB27" s="101"/>
      <c r="AC27" s="101"/>
      <c r="AD27" s="62"/>
      <c r="AE27" s="61"/>
      <c r="AF27" s="173" t="e">
        <f>SUM('دستمزد 1404'!#REF!,'دستمزد 1404'!#REF!,'دستمزد 1404'!#REF!,'دستمزد 1404'!#REF!,'دستمزد 1404'!#REF!,'دستمزد 1404'!#REF!,'دستمزد 1404'!#REF!,'دستمزد 1404'!#REF!,'دستمزد 1404'!#REF!,'دستمزد 1404'!#REF!)</f>
        <v>#REF!</v>
      </c>
      <c r="AG27" s="60"/>
      <c r="AH27" s="60"/>
      <c r="AI27" s="60"/>
      <c r="AJ27" s="60"/>
    </row>
    <row r="28" spans="7:36" ht="23.25" thickBot="1" x14ac:dyDescent="0.6">
      <c r="G28" s="43" t="s">
        <v>49</v>
      </c>
      <c r="H28" s="130">
        <v>0</v>
      </c>
      <c r="U28" s="101">
        <v>27</v>
      </c>
      <c r="X28" s="44">
        <v>6</v>
      </c>
      <c r="Y28" s="45">
        <v>3400</v>
      </c>
      <c r="Z28" s="4">
        <f>IF(X28=Sheet2!H22,Y28,0)</f>
        <v>0</v>
      </c>
      <c r="AA28" s="101"/>
      <c r="AB28" s="101"/>
      <c r="AC28" s="101"/>
      <c r="AD28" s="62"/>
      <c r="AE28" s="61"/>
      <c r="AF28" s="60"/>
      <c r="AG28" s="60"/>
      <c r="AH28" s="178" t="e">
        <f>AG26+AF26</f>
        <v>#REF!</v>
      </c>
      <c r="AI28" s="60"/>
      <c r="AJ28" s="60"/>
    </row>
    <row r="29" spans="7:36" ht="23.25" thickBot="1" x14ac:dyDescent="0.6">
      <c r="U29" s="101">
        <v>28</v>
      </c>
      <c r="X29" s="28">
        <v>7</v>
      </c>
      <c r="Y29" s="7">
        <v>3600</v>
      </c>
      <c r="Z29" s="11">
        <f>IF(X29=Sheet2!H22,Y29,0)</f>
        <v>0</v>
      </c>
      <c r="AA29" s="101"/>
      <c r="AB29" s="101"/>
      <c r="AC29" s="101"/>
      <c r="AD29" s="101"/>
      <c r="AF29" s="132"/>
    </row>
    <row r="30" spans="7:36" ht="22.5" x14ac:dyDescent="0.55000000000000004">
      <c r="G30" s="49"/>
      <c r="H30" s="49"/>
      <c r="I30" s="49"/>
      <c r="U30" s="101">
        <v>29</v>
      </c>
      <c r="X30" s="44">
        <v>8</v>
      </c>
      <c r="Y30" s="45">
        <v>3800</v>
      </c>
      <c r="Z30" s="4">
        <f>IF(X30=Sheet2!H22,Y30,0)</f>
        <v>0</v>
      </c>
      <c r="AA30" s="101"/>
      <c r="AB30" s="101"/>
      <c r="AC30" s="101"/>
      <c r="AD30" s="101"/>
    </row>
    <row r="31" spans="7:36" ht="22.5" x14ac:dyDescent="0.55000000000000004">
      <c r="G31" s="284" t="s">
        <v>55</v>
      </c>
      <c r="H31" s="284"/>
      <c r="I31" s="133" t="e">
        <f>('دستمزد 1404'!#REF!*100)/Sheet2!AQ38</f>
        <v>#REF!</v>
      </c>
      <c r="U31" s="101">
        <v>30</v>
      </c>
      <c r="X31" s="28">
        <v>9</v>
      </c>
      <c r="Y31" s="7">
        <v>4000</v>
      </c>
      <c r="Z31" s="11">
        <f>IF(X31=Sheet2!H22,Y31,0)</f>
        <v>0</v>
      </c>
      <c r="AA31" s="101"/>
      <c r="AB31" s="101"/>
      <c r="AC31" s="101"/>
      <c r="AD31" s="101"/>
      <c r="AF31" s="134"/>
    </row>
    <row r="32" spans="7:36" ht="22.5" x14ac:dyDescent="0.55000000000000004">
      <c r="G32" s="284" t="s">
        <v>56</v>
      </c>
      <c r="H32" s="284"/>
      <c r="I32" s="133" t="e">
        <f>('دستمزد 1404'!#REF!*100)/Sheet2!AQ38</f>
        <v>#REF!</v>
      </c>
      <c r="X32" s="44">
        <v>10</v>
      </c>
      <c r="Y32" s="45">
        <v>4200</v>
      </c>
      <c r="Z32" s="4">
        <f>IF(X32=Sheet2!H22,Y32,0)</f>
        <v>0</v>
      </c>
      <c r="AA32" s="101"/>
      <c r="AB32" s="101"/>
      <c r="AC32" s="101"/>
      <c r="AD32" s="101"/>
    </row>
    <row r="33" spans="7:43" ht="22.5" x14ac:dyDescent="0.55000000000000004">
      <c r="G33" s="284" t="s">
        <v>67</v>
      </c>
      <c r="H33" s="284"/>
      <c r="I33" s="133" t="e">
        <f>('دستمزد 1404'!#REF!*100)/Sheet2!I36</f>
        <v>#REF!</v>
      </c>
      <c r="X33" s="28">
        <v>11</v>
      </c>
      <c r="Y33" s="7">
        <v>4400</v>
      </c>
      <c r="Z33" s="11">
        <f>IF(X33=Sheet2!H22,Y33,0)</f>
        <v>0</v>
      </c>
      <c r="AA33" s="101"/>
      <c r="AB33" s="101"/>
      <c r="AC33" s="101"/>
      <c r="AD33" s="101"/>
    </row>
    <row r="34" spans="7:43" ht="22.5" x14ac:dyDescent="0.55000000000000004">
      <c r="G34" s="284" t="s">
        <v>72</v>
      </c>
      <c r="H34" s="284"/>
      <c r="I34" s="133" t="e">
        <f>('11'!#REF!*100)/'11'!E4</f>
        <v>#REF!</v>
      </c>
      <c r="X34" s="44">
        <v>12</v>
      </c>
      <c r="Y34" s="45">
        <v>4600</v>
      </c>
      <c r="Z34" s="4">
        <f>IF(X34=Sheet2!H22,Y34,0)</f>
        <v>0</v>
      </c>
      <c r="AA34" s="101"/>
      <c r="AB34" s="101"/>
      <c r="AC34" s="101"/>
      <c r="AD34" s="101"/>
    </row>
    <row r="35" spans="7:43" ht="22.5" x14ac:dyDescent="0.55000000000000004">
      <c r="G35" s="50"/>
      <c r="H35" s="50"/>
      <c r="I35" s="50"/>
      <c r="X35" s="28">
        <v>13</v>
      </c>
      <c r="Y35" s="7">
        <v>4800</v>
      </c>
      <c r="Z35" s="11">
        <f>IF(X35=Sheet2!H22,Y35,0)</f>
        <v>0</v>
      </c>
      <c r="AA35" s="101"/>
      <c r="AB35" s="101"/>
      <c r="AC35" s="101"/>
      <c r="AD35" s="101"/>
    </row>
    <row r="36" spans="7:43" ht="22.5" x14ac:dyDescent="0.55000000000000004">
      <c r="G36" s="284" t="s">
        <v>68</v>
      </c>
      <c r="H36" s="284"/>
      <c r="I36" s="59">
        <f>SUM('11'!E4,'11'!E5,'11'!E6,'11'!E9,'11'!E13,'11'!E15,'11'!E16,'11'!E17,'11'!E21,'11'!E22)</f>
        <v>0</v>
      </c>
      <c r="X36" s="44">
        <v>14</v>
      </c>
      <c r="Y36" s="45">
        <v>5000</v>
      </c>
      <c r="Z36" s="4">
        <f>IF(X36=Sheet2!H22,Y36,0)</f>
        <v>0</v>
      </c>
      <c r="AA36" s="101"/>
      <c r="AB36" s="101"/>
      <c r="AC36" s="101"/>
      <c r="AD36" s="101"/>
      <c r="AP36" s="135"/>
      <c r="AQ36" s="136"/>
    </row>
    <row r="37" spans="7:43" ht="23.25" thickBot="1" x14ac:dyDescent="0.6">
      <c r="G37" s="50"/>
      <c r="H37" s="50"/>
      <c r="I37" s="50"/>
      <c r="X37" s="28">
        <v>15</v>
      </c>
      <c r="Y37" s="7">
        <v>5200</v>
      </c>
      <c r="Z37" s="11">
        <f>IF(X37=Sheet2!H22,Y37,0)</f>
        <v>0</v>
      </c>
      <c r="AA37" s="101"/>
      <c r="AB37" s="101"/>
      <c r="AC37" s="101"/>
      <c r="AD37" s="101"/>
    </row>
    <row r="38" spans="7:43" ht="23.25" thickBot="1" x14ac:dyDescent="0.6">
      <c r="G38" s="284" t="s">
        <v>69</v>
      </c>
      <c r="H38" s="284"/>
      <c r="I38" s="59">
        <f>ROUND('11'!D21*Sheet2!H42%,0)</f>
        <v>0</v>
      </c>
      <c r="X38" s="46">
        <v>16</v>
      </c>
      <c r="Y38" s="47">
        <v>5400</v>
      </c>
      <c r="Z38" s="48">
        <f>IF(X38=Sheet2!H22,Y38,0)</f>
        <v>0</v>
      </c>
      <c r="AA38" s="101"/>
      <c r="AB38" s="101"/>
      <c r="AC38" s="101"/>
      <c r="AD38" s="101"/>
      <c r="AI38" s="137" t="s">
        <v>43</v>
      </c>
      <c r="AJ38" s="138" t="s">
        <v>44</v>
      </c>
      <c r="AL38" s="139" t="s">
        <v>11</v>
      </c>
      <c r="AN38" s="139" t="s">
        <v>53</v>
      </c>
      <c r="AP38" s="140" t="s">
        <v>54</v>
      </c>
      <c r="AQ38" s="141">
        <f>SUM('11'!E7,'11'!E22,'11'!E21)</f>
        <v>0</v>
      </c>
    </row>
    <row r="39" spans="7:43" ht="22.5" x14ac:dyDescent="0.55000000000000004">
      <c r="G39" s="284" t="s">
        <v>70</v>
      </c>
      <c r="H39" s="284"/>
      <c r="I39" s="59">
        <f>ROUND('11'!D22*Sheet2!H42%,0)</f>
        <v>0</v>
      </c>
      <c r="X39" s="25" t="s">
        <v>29</v>
      </c>
      <c r="Y39" s="9">
        <v>0</v>
      </c>
      <c r="Z39" s="10">
        <f>IF(X39=Sheet2!H23,0,0)</f>
        <v>0</v>
      </c>
      <c r="AA39" s="291" t="s">
        <v>39</v>
      </c>
      <c r="AB39" s="292"/>
      <c r="AC39" s="292"/>
      <c r="AD39" s="293"/>
      <c r="AF39" s="33">
        <v>1</v>
      </c>
      <c r="AG39" s="34">
        <f>IF(AND(AND(X39=Sheet2!H23,Sheet2!H26&gt;1,Sheet2!H28&gt;119,Sheet2!H15&gt;69,Sheet2!H16&gt;69),((Sheet2!H15+Sheet2!H16)/2)&gt;=75),1,0)</f>
        <v>0</v>
      </c>
      <c r="AI39" s="142">
        <f>IF(AG39=AF39,AD44*30%,0)</f>
        <v>0</v>
      </c>
      <c r="AJ39" s="143">
        <f>IF(AG39=AF39,AD44*20%,0)</f>
        <v>0</v>
      </c>
      <c r="AL39" s="144">
        <f>IF(AG39=AF39,'دستمزد 1404'!#REF!*10%,0)</f>
        <v>0</v>
      </c>
      <c r="AN39" s="144">
        <f>IF(AG39=AF39,AA11*10%,0)</f>
        <v>0</v>
      </c>
    </row>
    <row r="40" spans="7:43" ht="22.5" x14ac:dyDescent="0.55000000000000004">
      <c r="X40" s="26" t="s">
        <v>30</v>
      </c>
      <c r="Y40" s="7">
        <v>250</v>
      </c>
      <c r="Z40" s="11">
        <f>IF(X40=Sheet2!H23,Y40,0)</f>
        <v>0</v>
      </c>
      <c r="AA40" s="26">
        <f>AA44</f>
        <v>3520</v>
      </c>
      <c r="AB40" s="7">
        <f>IF(X40=Sheet2!H23,AA41,0)</f>
        <v>0</v>
      </c>
      <c r="AC40" s="15">
        <v>0.15</v>
      </c>
      <c r="AD40" s="16">
        <f>AC40*AB40</f>
        <v>0</v>
      </c>
      <c r="AF40" s="28">
        <v>2</v>
      </c>
      <c r="AG40" s="35">
        <f>IF(X40=Sheet2!H23,AF40,0)</f>
        <v>0</v>
      </c>
      <c r="AI40" s="145">
        <f>IF(AG40=AF40,AD44*25%,0)</f>
        <v>0</v>
      </c>
      <c r="AJ40" s="146">
        <f>IF(AG40=AF40,AD44*15%,0)</f>
        <v>0</v>
      </c>
      <c r="AL40" s="147">
        <f>IF(AG40=AF40,'دستمزد 1404'!#REF!*15%,0)</f>
        <v>0</v>
      </c>
      <c r="AN40" s="144">
        <f>IF(AG40=AF40,AA11*15%,0)</f>
        <v>0</v>
      </c>
    </row>
    <row r="41" spans="7:43" ht="23.25" thickBot="1" x14ac:dyDescent="0.6">
      <c r="G41" s="279" t="s">
        <v>74</v>
      </c>
      <c r="H41" s="278"/>
      <c r="X41" s="26" t="s">
        <v>31</v>
      </c>
      <c r="Y41" s="7">
        <v>600</v>
      </c>
      <c r="Z41" s="11">
        <f>IF(X41=Sheet2!H23,Y41,0)</f>
        <v>0</v>
      </c>
      <c r="AA41" s="26">
        <f>AA44</f>
        <v>3520</v>
      </c>
      <c r="AB41" s="7">
        <f>IF(X41=Sheet2!H23,AA41,0)</f>
        <v>0</v>
      </c>
      <c r="AC41" s="15">
        <v>0.25</v>
      </c>
      <c r="AD41" s="16">
        <f>AC41*AB41</f>
        <v>0</v>
      </c>
      <c r="AF41" s="28">
        <v>3</v>
      </c>
      <c r="AG41" s="35">
        <f>IF(X41=Sheet2!H23,AF41,0)</f>
        <v>0</v>
      </c>
      <c r="AI41" s="145">
        <f>IF(AG41=AF41,AD44*17%,0)</f>
        <v>0</v>
      </c>
      <c r="AJ41" s="146">
        <f>IF(AG41=AF41,AD44*10%,0)</f>
        <v>0</v>
      </c>
      <c r="AL41" s="147">
        <f>IF(AG41=AF41,'دستمزد 1404'!#REF!*25%,0)</f>
        <v>0</v>
      </c>
      <c r="AN41" s="144">
        <f>IF(AG41=AF41,AA11*25%,0)</f>
        <v>0</v>
      </c>
    </row>
    <row r="42" spans="7:43" ht="24.75" thickBot="1" x14ac:dyDescent="0.6">
      <c r="G42" s="66" t="s">
        <v>73</v>
      </c>
      <c r="H42" s="148">
        <v>0</v>
      </c>
      <c r="X42" s="26" t="s">
        <v>32</v>
      </c>
      <c r="Y42" s="7">
        <v>1050</v>
      </c>
      <c r="Z42" s="11">
        <f>IF(X42=Sheet2!H23,Y42,0)</f>
        <v>0</v>
      </c>
      <c r="AA42" s="26">
        <f>AA44</f>
        <v>3520</v>
      </c>
      <c r="AB42" s="7">
        <f>IF(X42=Sheet2!H23,AA42,0)</f>
        <v>0</v>
      </c>
      <c r="AC42" s="15">
        <v>0.35</v>
      </c>
      <c r="AD42" s="16">
        <f>AC42*AB42</f>
        <v>0</v>
      </c>
      <c r="AF42" s="28">
        <v>4</v>
      </c>
      <c r="AG42" s="35">
        <f>IF(X42=Sheet2!H23,AF42,0)</f>
        <v>0</v>
      </c>
      <c r="AI42" s="145">
        <f>IF(AG42=AF42,AD44*8%,0)</f>
        <v>0</v>
      </c>
      <c r="AJ42" s="146">
        <f>IF(AG42=AF42,AD44*5%,0)</f>
        <v>0</v>
      </c>
      <c r="AL42" s="147">
        <f>IF(AG42=AF42,'دستمزد 1404'!#REF!*35%,0)</f>
        <v>0</v>
      </c>
      <c r="AN42" s="144">
        <f>IF(AG42=AF42,AA11*35%,0)</f>
        <v>0</v>
      </c>
      <c r="AP42" s="140" t="s">
        <v>57</v>
      </c>
      <c r="AQ42" s="141" t="e">
        <f>SUM(Sheet2!H58,Sheet2!H73,Sheet2!H74)</f>
        <v>#REF!</v>
      </c>
    </row>
    <row r="43" spans="7:43" ht="23.25" thickBot="1" x14ac:dyDescent="0.6">
      <c r="X43" s="12" t="s">
        <v>33</v>
      </c>
      <c r="Y43" s="13">
        <v>1600</v>
      </c>
      <c r="Z43" s="14">
        <f>IF(X43=Sheet2!H23,Y43,0)</f>
        <v>0</v>
      </c>
      <c r="AA43" s="26">
        <f>AA44</f>
        <v>3520</v>
      </c>
      <c r="AB43" s="8">
        <f>IF(X43=Sheet2!H23,AA43,0)</f>
        <v>0</v>
      </c>
      <c r="AC43" s="17">
        <v>0.5</v>
      </c>
      <c r="AD43" s="18">
        <f>AC43*AB43</f>
        <v>0</v>
      </c>
      <c r="AF43" s="36">
        <v>5</v>
      </c>
      <c r="AG43" s="37">
        <f>IF(X43=Sheet2!H23,AF43,0)</f>
        <v>0</v>
      </c>
      <c r="AI43" s="149">
        <f>SUM(AI39:AI42)</f>
        <v>0</v>
      </c>
      <c r="AJ43" s="150">
        <f>SUM(AJ39:AJ42)</f>
        <v>0</v>
      </c>
      <c r="AL43" s="147">
        <f>IF(AG43=AF43,'دستمزد 1404'!#REF!*50%,0)</f>
        <v>0</v>
      </c>
      <c r="AN43" s="144">
        <f>IF(AG43=AF43,AA11*50%,0)</f>
        <v>0</v>
      </c>
    </row>
    <row r="44" spans="7:43" ht="24.75" thickBot="1" x14ac:dyDescent="0.65">
      <c r="G44" s="278" t="s">
        <v>66</v>
      </c>
      <c r="H44" s="278"/>
      <c r="X44" s="289" t="s">
        <v>38</v>
      </c>
      <c r="Y44" s="290"/>
      <c r="Z44" s="27">
        <f>SUM(Z23:Z43)</f>
        <v>3200</v>
      </c>
      <c r="AA44" s="151">
        <f>Z44+(Z44*10%)</f>
        <v>3520</v>
      </c>
      <c r="AB44" s="294" t="s">
        <v>40</v>
      </c>
      <c r="AC44" s="295"/>
      <c r="AD44" s="19">
        <f>SUM(AD40:AD43,AA44)</f>
        <v>3520</v>
      </c>
      <c r="AF44" s="38" t="s">
        <v>28</v>
      </c>
      <c r="AG44" s="39">
        <f>SUM(AG39:AG43)</f>
        <v>0</v>
      </c>
      <c r="AI44" s="40" t="s">
        <v>52</v>
      </c>
      <c r="AJ44" s="152">
        <f>IF(Sheet2!H25=Sheet2!Q2,AI43,AJ43)</f>
        <v>0</v>
      </c>
      <c r="AL44" s="153">
        <f>SUM(AL39:AL43)</f>
        <v>0</v>
      </c>
      <c r="AN44" s="153">
        <f>IF(AG44&gt;0,SUM(AN39:AN43)+(AC13*50%),0)</f>
        <v>0</v>
      </c>
      <c r="AP44" s="140" t="s">
        <v>58</v>
      </c>
      <c r="AQ44" s="141">
        <f>SUM('11'!G7,'11'!G21,'11'!G22)</f>
        <v>0</v>
      </c>
    </row>
    <row r="45" spans="7:43" ht="24.75" thickBot="1" x14ac:dyDescent="0.3">
      <c r="G45" s="66" t="s">
        <v>65</v>
      </c>
      <c r="H45" s="73" t="s">
        <v>9</v>
      </c>
    </row>
    <row r="52" spans="7:8" ht="15.75" thickBot="1" x14ac:dyDescent="0.3"/>
    <row r="53" spans="7:8" ht="21" x14ac:dyDescent="0.25">
      <c r="G53" s="285" t="s">
        <v>108</v>
      </c>
      <c r="H53" s="286"/>
    </row>
    <row r="54" spans="7:8" ht="21.75" thickBot="1" x14ac:dyDescent="0.3">
      <c r="G54" s="67" t="s">
        <v>0</v>
      </c>
      <c r="H54" s="68" t="s">
        <v>1</v>
      </c>
    </row>
    <row r="55" spans="7:8" ht="21" x14ac:dyDescent="0.25">
      <c r="G55" s="53">
        <f>'11'!D4</f>
        <v>0</v>
      </c>
      <c r="H55" s="54" t="e">
        <f>G55*'دستمزد 1404'!#REF!</f>
        <v>#REF!</v>
      </c>
    </row>
    <row r="56" spans="7:8" ht="21" x14ac:dyDescent="0.25">
      <c r="G56" s="51">
        <f>'11'!D5</f>
        <v>0</v>
      </c>
      <c r="H56" s="52" t="e">
        <f>G56*'دستمزد 1404'!#REF!</f>
        <v>#REF!</v>
      </c>
    </row>
    <row r="57" spans="7:8" ht="21" x14ac:dyDescent="0.25">
      <c r="G57" s="56" t="e">
        <f>'ورود اطلاعات (2)'!K12</f>
        <v>#REF!</v>
      </c>
      <c r="H57" s="52" t="e">
        <f>G57*'دستمزد 1404'!#REF!</f>
        <v>#REF!</v>
      </c>
    </row>
    <row r="58" spans="7:8" ht="21" x14ac:dyDescent="0.25">
      <c r="G58" s="70" t="e">
        <f>SUM(G55:G57)</f>
        <v>#REF!</v>
      </c>
      <c r="H58" s="69" t="e">
        <f>SUM(H55:H57)</f>
        <v>#REF!</v>
      </c>
    </row>
    <row r="59" spans="7:8" ht="21" x14ac:dyDescent="0.25">
      <c r="G59" s="56"/>
      <c r="H59" s="55">
        <f>'11'!E8</f>
        <v>0</v>
      </c>
    </row>
    <row r="60" spans="7:8" ht="21" x14ac:dyDescent="0.25">
      <c r="G60" s="56">
        <f>'11'!D9</f>
        <v>0</v>
      </c>
      <c r="H60" s="55" t="e">
        <f>G60*'دستمزد 1404'!#REF!</f>
        <v>#REF!</v>
      </c>
    </row>
    <row r="61" spans="7:8" ht="21" x14ac:dyDescent="0.25">
      <c r="G61" s="56"/>
      <c r="H61" s="55" t="e">
        <f>IF('دستمزد 1404'!#REF!=0,0,SUM(H55,H56,H57,H60,H64,H66,H67,H68,H73,H74)*Sheet2!I33%)</f>
        <v>#REF!</v>
      </c>
    </row>
    <row r="62" spans="7:8" ht="21" x14ac:dyDescent="0.25">
      <c r="G62" s="56"/>
      <c r="H62" s="55" t="e">
        <f>IF('دستمزد 1404'!#REF!=0,0,Sheet2!AQ42*Sheet2!I31%)</f>
        <v>#REF!</v>
      </c>
    </row>
    <row r="63" spans="7:8" ht="21" x14ac:dyDescent="0.25">
      <c r="G63" s="56"/>
      <c r="H63" s="55" t="e">
        <f>IF('دستمزد 1404'!#REF!=0,0,Sheet2!AQ42*Sheet2!I32%)</f>
        <v>#REF!</v>
      </c>
    </row>
    <row r="64" spans="7:8" ht="21" x14ac:dyDescent="0.25">
      <c r="G64" s="56">
        <f>'11'!D13</f>
        <v>0</v>
      </c>
      <c r="H64" s="55" t="e">
        <f>G64*'دستمزد 1404'!#REF!</f>
        <v>#REF!</v>
      </c>
    </row>
    <row r="65" spans="7:8" ht="21" x14ac:dyDescent="0.25">
      <c r="G65" s="56"/>
      <c r="H65" s="55" t="e">
        <f>IF('دستمزد 1404'!#REF!="بلی",'ورود اطلاعات (2)'!K48/4,0)</f>
        <v>#REF!</v>
      </c>
    </row>
    <row r="66" spans="7:8" ht="21" x14ac:dyDescent="0.25">
      <c r="G66" s="56">
        <f>'11'!D15</f>
        <v>0</v>
      </c>
      <c r="H66" s="55" t="e">
        <f>G66*'دستمزد 1404'!#REF!</f>
        <v>#REF!</v>
      </c>
    </row>
    <row r="67" spans="7:8" ht="21" x14ac:dyDescent="0.25">
      <c r="G67" s="56">
        <f>'11'!D16</f>
        <v>0</v>
      </c>
      <c r="H67" s="55" t="e">
        <f>G67*'دستمزد 1404'!#REF!</f>
        <v>#REF!</v>
      </c>
    </row>
    <row r="68" spans="7:8" ht="21" x14ac:dyDescent="0.25">
      <c r="G68" s="56">
        <f>'11'!D17</f>
        <v>0</v>
      </c>
      <c r="H68" s="55" t="e">
        <f>G68*'دستمزد 1404'!#REF!</f>
        <v>#REF!</v>
      </c>
    </row>
    <row r="69" spans="7:8" ht="21" x14ac:dyDescent="0.25">
      <c r="G69" s="56">
        <f>'11'!D18</f>
        <v>0</v>
      </c>
      <c r="H69" s="55">
        <f>G69*2438</f>
        <v>0</v>
      </c>
    </row>
    <row r="70" spans="7:8" ht="21" x14ac:dyDescent="0.25">
      <c r="G70" s="56">
        <f>'11'!D19</f>
        <v>0</v>
      </c>
      <c r="H70" s="55">
        <f>G70*2438</f>
        <v>0</v>
      </c>
    </row>
    <row r="71" spans="7:8" ht="21" x14ac:dyDescent="0.25">
      <c r="G71" s="56"/>
      <c r="H71" s="55" t="e">
        <f>IF('دستمزد 1404'!#REF!=0,0,H55*Sheet2!I34%)</f>
        <v>#REF!</v>
      </c>
    </row>
    <row r="72" spans="7:8" ht="21" x14ac:dyDescent="0.25">
      <c r="G72" s="56"/>
      <c r="H72" s="55" t="e">
        <f>'دستمزد 1404'!#REF!</f>
        <v>#REF!</v>
      </c>
    </row>
    <row r="73" spans="7:8" ht="21" x14ac:dyDescent="0.25">
      <c r="G73" s="56">
        <f>'11'!D21</f>
        <v>0</v>
      </c>
      <c r="H73" s="55" t="e">
        <f>G73*'دستمزد 1404'!#REF!</f>
        <v>#REF!</v>
      </c>
    </row>
    <row r="74" spans="7:8" ht="21" x14ac:dyDescent="0.25">
      <c r="G74" s="58">
        <f>'11'!D22</f>
        <v>0</v>
      </c>
      <c r="H74" s="57" t="e">
        <f>G74*'دستمزد 1404'!#REF!</f>
        <v>#REF!</v>
      </c>
    </row>
    <row r="75" spans="7:8" ht="21.75" thickBot="1" x14ac:dyDescent="0.3">
      <c r="G75" s="58"/>
      <c r="H75" s="55" t="e">
        <f>IF(SUM(H58,'11'!E8,H60:H74)&lt;28000000,(28000000-SUM(H58,'11'!E8,H60:H74)),0)</f>
        <v>#REF!</v>
      </c>
    </row>
    <row r="76" spans="7:8" ht="21.75" thickBot="1" x14ac:dyDescent="0.3">
      <c r="G76" s="72" t="e">
        <f>SUM(G58:G74)</f>
        <v>#REF!</v>
      </c>
      <c r="H76" s="71" t="e">
        <f>SUM(H58:H75)</f>
        <v>#REF!</v>
      </c>
    </row>
    <row r="77" spans="7:8" ht="20.25" thickBot="1" x14ac:dyDescent="0.3">
      <c r="G77" s="106"/>
      <c r="H77" s="106"/>
    </row>
    <row r="78" spans="7:8" ht="21.75" thickBot="1" x14ac:dyDescent="0.3">
      <c r="G78" s="99"/>
      <c r="H78" s="99"/>
    </row>
    <row r="79" spans="7:8" ht="20.25" x14ac:dyDescent="0.25">
      <c r="G79" s="98"/>
      <c r="H79" s="98"/>
    </row>
    <row r="80" spans="7:8" ht="20.25" x14ac:dyDescent="0.25">
      <c r="G80" s="96"/>
      <c r="H80" s="96"/>
    </row>
    <row r="81" spans="7:8" ht="20.25" x14ac:dyDescent="0.25">
      <c r="G81" s="96"/>
      <c r="H81" s="96"/>
    </row>
    <row r="82" spans="7:8" ht="20.25" x14ac:dyDescent="0.25">
      <c r="G82" s="96"/>
      <c r="H82" s="96"/>
    </row>
    <row r="83" spans="7:8" ht="20.25" x14ac:dyDescent="0.25">
      <c r="G83" s="96"/>
      <c r="H83" s="96"/>
    </row>
    <row r="84" spans="7:8" ht="21" thickBot="1" x14ac:dyDescent="0.3">
      <c r="G84" s="97"/>
      <c r="H84" s="97"/>
    </row>
  </sheetData>
  <sheetProtection algorithmName="SHA-512" hashValue="DR5MTdTAHl1BSS4GM3kZ3lwLlkOTjFM0WCYRkvJvDluXqi3A1Y1W069eIickAJe6SvKgvf878SDEUruQqDc/UQ==" saltValue="X9ppzskinQ9juB6TqYhiLw==" spinCount="100000" sheet="1" objects="1" scenarios="1"/>
  <mergeCells count="20">
    <mergeCell ref="G53:H53"/>
    <mergeCell ref="Y11:Z11"/>
    <mergeCell ref="X44:Y44"/>
    <mergeCell ref="AA39:AD39"/>
    <mergeCell ref="AB44:AC44"/>
    <mergeCell ref="Y12:AB12"/>
    <mergeCell ref="Y13:AB13"/>
    <mergeCell ref="G32:H32"/>
    <mergeCell ref="G33:H33"/>
    <mergeCell ref="G9:H9"/>
    <mergeCell ref="G41:H41"/>
    <mergeCell ref="G44:H44"/>
    <mergeCell ref="G14:H14"/>
    <mergeCell ref="G18:H19"/>
    <mergeCell ref="G21:H21"/>
    <mergeCell ref="G36:H36"/>
    <mergeCell ref="G38:H38"/>
    <mergeCell ref="G39:H39"/>
    <mergeCell ref="G34:H34"/>
    <mergeCell ref="G31:H31"/>
  </mergeCells>
  <dataValidations count="10">
    <dataValidation type="whole" allowBlank="1" showInputMessage="1" showErrorMessage="1" errorTitle="توجه" error="از صفر (۰) تا صد (100)  عددی وارد نمایید" sqref="H15:H16" xr:uid="{00000000-0002-0000-0200-000000000000}">
      <formula1>0</formula1>
      <formula2>100</formula2>
    </dataValidation>
    <dataValidation type="list" allowBlank="1" showInputMessage="1" showErrorMessage="1" errorTitle="توجه" error="یکی از گزینه های زیر را تایپ (انتخاب) نموده و سپس کلید اینتر را بزنید_x000a__x000a_مقدماتی_x000a_پایه_x000a_ارشد_x000a_خبره_x000a_عالی_x000a_" sqref="H23" xr:uid="{00000000-0002-0000-0200-000001000000}">
      <formula1>$X$39:$X$43</formula1>
    </dataValidation>
    <dataValidation type="list" allowBlank="1" showInputMessage="1" showErrorMessage="1" errorTitle="توجه" error="عددی بین 4 تا 16 مطابق با آخرین حکم کارگزینی وارد نمایید" sqref="H22" xr:uid="{00000000-0002-0000-0200-000002000000}">
      <formula1>$X$23:$X$38</formula1>
    </dataValidation>
    <dataValidation type="list" allowBlank="1" showInputMessage="1" showErrorMessage="1" errorTitle="توجه" error="یکی از گزینه های زیر را تایپ (انتخاب) نموده و سپس کلید اینتر را بزنید_x000a__x000a_زیر دیپلم_x000a_دیپلم_x000a_فوق دیپلم_x000a_لیسانس_x000a_فوق لیسانس_x000a_دکتری_x000a_" sqref="H24" xr:uid="{00000000-0002-0000-0200-000003000000}">
      <formula1>$Y$5:$Y$10</formula1>
    </dataValidation>
    <dataValidation type="list" allowBlank="1" showInputMessage="1" showErrorMessage="1" errorTitle="توجه" error="از صفر (0) تا یازده (11) عددی وارد نمایید" sqref="H27" xr:uid="{00000000-0002-0000-0200-000004000000}">
      <formula1>$U$1:$U$12</formula1>
    </dataValidation>
    <dataValidation type="list" allowBlank="1" showInputMessage="1" showErrorMessage="1" errorTitle="توجه" error="از صفر (0) تا سی (30) عددی وارد نمایید" sqref="H26" xr:uid="{00000000-0002-0000-0200-000005000000}">
      <formula1>$U$1:$U$31</formula1>
    </dataValidation>
    <dataValidation type="list" allowBlank="1" showInputMessage="1" showErrorMessage="1" errorTitle="توجه" error="یکی از گزینه های زیر را تایپ (انتخاب) نمایید_x000a__x000a_ابتدایی_x000a_متوسطه_x000a_" sqref="H25" xr:uid="{00000000-0002-0000-0200-000006000000}">
      <formula1>$Q$2:$Q$3</formula1>
    </dataValidation>
    <dataValidation type="whole" allowBlank="1" showInputMessage="1" showErrorMessage="1" errorTitle="توجه" error="از صفر (۰) تا هزار (1000)  عددی وارد نمایید" sqref="H28" xr:uid="{00000000-0002-0000-0200-000007000000}">
      <formula1>0</formula1>
      <formula2>1000</formula2>
    </dataValidation>
    <dataValidation type="whole" allowBlank="1" showInputMessage="1" showErrorMessage="1" errorTitle="اخطار" error="عددی از یک تا پنجاه وارد نمایید" sqref="H42" xr:uid="{00000000-0002-0000-0200-000008000000}">
      <formula1>0</formula1>
      <formula2>50</formula2>
    </dataValidation>
    <dataValidation type="list" allowBlank="1" showInputMessage="1" showErrorMessage="1" errorTitle="توجه" error="یکی از گزینه های زیر را وارد نمایید_x000a__x000a_خیر_x000a_بلی_x000a__x000a_" sqref="H45" xr:uid="{00000000-0002-0000-0200-000009000000}">
      <formula1>$S$2:$S$3</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00"/>
    <pageSetUpPr fitToPage="1"/>
  </sheetPr>
  <dimension ref="A1:AD53"/>
  <sheetViews>
    <sheetView rightToLeft="1" zoomScaleNormal="100" zoomScaleSheetLayoutView="100" workbookViewId="0">
      <selection activeCell="J4" sqref="J4"/>
    </sheetView>
  </sheetViews>
  <sheetFormatPr defaultColWidth="9.140625" defaultRowHeight="18" x14ac:dyDescent="0.25"/>
  <cols>
    <col min="1" max="1" width="3.28515625" style="77" customWidth="1"/>
    <col min="2" max="2" width="11.7109375" style="77" customWidth="1"/>
    <col min="3" max="3" width="19.7109375" style="77" customWidth="1"/>
    <col min="4" max="4" width="15.7109375" style="77" customWidth="1"/>
    <col min="5" max="5" width="3" style="77" customWidth="1"/>
    <col min="6" max="6" width="30.7109375" style="77" customWidth="1"/>
    <col min="7" max="7" width="15.7109375" style="77" customWidth="1"/>
    <col min="8" max="8" width="4.28515625" style="77" customWidth="1"/>
    <col min="9" max="9" width="9.140625" style="77"/>
    <col min="10" max="10" width="29.140625" style="77" customWidth="1"/>
    <col min="11" max="11" width="15.140625" style="77" customWidth="1"/>
    <col min="12" max="15" width="9.140625" style="77"/>
    <col min="16" max="16" width="14.7109375" style="77" bestFit="1" customWidth="1"/>
    <col min="17" max="18" width="9.140625" style="77"/>
    <col min="19" max="23" width="9.140625" style="50"/>
    <col min="24" max="26" width="9.140625" style="77"/>
    <col min="27" max="27" width="16.140625" style="77" customWidth="1"/>
    <col min="28" max="28" width="16.28515625" style="77" customWidth="1"/>
    <col min="29" max="16384" width="9.140625" style="77"/>
  </cols>
  <sheetData>
    <row r="1" spans="1:30" ht="27.75" x14ac:dyDescent="0.75">
      <c r="A1" s="75"/>
      <c r="B1" s="303" t="s">
        <v>80</v>
      </c>
      <c r="C1" s="303"/>
      <c r="D1" s="303"/>
      <c r="E1" s="303"/>
      <c r="F1" s="303"/>
      <c r="G1" s="303"/>
      <c r="H1" s="75"/>
      <c r="I1" s="76"/>
      <c r="Y1" s="77" t="s">
        <v>81</v>
      </c>
      <c r="Z1" s="77" t="e">
        <f>IF(Y1='دستمزد 1404'!#REF!,0,0)</f>
        <v>#REF!</v>
      </c>
      <c r="AA1" s="78" t="s">
        <v>26</v>
      </c>
      <c r="AB1" s="77">
        <v>18</v>
      </c>
      <c r="AC1" s="77" t="e">
        <f>IF(AA1='دستمزد 1404'!#REF!,AB1,0)</f>
        <v>#REF!</v>
      </c>
    </row>
    <row r="2" spans="1:30" ht="21.75" x14ac:dyDescent="0.25">
      <c r="A2" s="75"/>
      <c r="B2" s="304" t="s">
        <v>82</v>
      </c>
      <c r="C2" s="304"/>
      <c r="D2" s="304"/>
      <c r="E2" s="304"/>
      <c r="F2" s="304"/>
      <c r="G2" s="304"/>
      <c r="H2" s="75"/>
      <c r="I2" s="76"/>
      <c r="S2" s="77" t="s">
        <v>83</v>
      </c>
      <c r="T2" s="77" t="s">
        <v>84</v>
      </c>
      <c r="U2" s="77" t="s">
        <v>71</v>
      </c>
      <c r="V2" s="77" t="s">
        <v>85</v>
      </c>
      <c r="W2" s="77" t="s">
        <v>8</v>
      </c>
      <c r="Y2" s="77" t="s">
        <v>86</v>
      </c>
      <c r="Z2" s="77" t="e">
        <f>IF(Y2='دستمزد 1404'!#REF!,51.9,0)</f>
        <v>#REF!</v>
      </c>
      <c r="AA2" s="78" t="s">
        <v>23</v>
      </c>
      <c r="AB2" s="77">
        <v>25</v>
      </c>
      <c r="AC2" s="77" t="e">
        <f>IF(AA2='دستمزد 1404'!#REF!,AB2,0)</f>
        <v>#REF!</v>
      </c>
    </row>
    <row r="3" spans="1:30" ht="21" thickBot="1" x14ac:dyDescent="0.3">
      <c r="A3" s="75"/>
      <c r="B3" s="305" t="s">
        <v>87</v>
      </c>
      <c r="C3" s="305"/>
      <c r="D3" s="305"/>
      <c r="E3" s="305"/>
      <c r="F3" s="305"/>
      <c r="G3" s="305"/>
      <c r="H3" s="75"/>
      <c r="I3" s="76"/>
      <c r="S3" s="79">
        <v>0</v>
      </c>
      <c r="T3" s="79">
        <v>0</v>
      </c>
      <c r="U3" s="79">
        <v>0</v>
      </c>
      <c r="V3" s="79">
        <v>0</v>
      </c>
      <c r="W3" s="77" t="s">
        <v>9</v>
      </c>
      <c r="Y3" s="77" t="s">
        <v>88</v>
      </c>
      <c r="Z3" s="77" t="e">
        <f>IF(Y3='دستمزد 1404'!#REF!,103.8,0)</f>
        <v>#REF!</v>
      </c>
      <c r="AA3" s="78" t="s">
        <v>24</v>
      </c>
      <c r="AB3" s="77">
        <v>32</v>
      </c>
      <c r="AC3" s="77" t="e">
        <f>IF(AA3='دستمزد 1404'!#REF!,AB3,0)</f>
        <v>#REF!</v>
      </c>
    </row>
    <row r="4" spans="1:30" ht="24" customHeight="1" thickBot="1" x14ac:dyDescent="0.3">
      <c r="A4" s="75"/>
      <c r="B4" s="306" t="s">
        <v>10</v>
      </c>
      <c r="C4" s="307"/>
      <c r="D4" s="80" t="s">
        <v>0</v>
      </c>
      <c r="E4" s="108"/>
      <c r="F4" s="109" t="s">
        <v>89</v>
      </c>
      <c r="G4" s="81">
        <v>2120</v>
      </c>
      <c r="H4" s="75"/>
      <c r="S4" s="79">
        <v>5</v>
      </c>
      <c r="T4" s="79">
        <v>5</v>
      </c>
      <c r="U4" s="79">
        <v>1</v>
      </c>
      <c r="V4" s="79">
        <v>1</v>
      </c>
      <c r="Y4" s="77" t="s">
        <v>5</v>
      </c>
      <c r="Z4" s="77" t="e">
        <f>SUM(Z1:Z3)</f>
        <v>#REF!</v>
      </c>
      <c r="AA4" s="78" t="s">
        <v>25</v>
      </c>
      <c r="AB4" s="77">
        <v>39</v>
      </c>
      <c r="AC4" s="77" t="e">
        <f>IF(AA4='دستمزد 1404'!#REF!,AB4,0)</f>
        <v>#REF!</v>
      </c>
    </row>
    <row r="5" spans="1:30" ht="24" customHeight="1" thickBot="1" x14ac:dyDescent="0.3">
      <c r="A5" s="75"/>
      <c r="B5" s="308" t="s">
        <v>18</v>
      </c>
      <c r="C5" s="110" t="s">
        <v>2</v>
      </c>
      <c r="D5" s="154">
        <v>4000</v>
      </c>
      <c r="E5" s="108"/>
      <c r="F5" s="111" t="s">
        <v>90</v>
      </c>
      <c r="G5" s="155" t="s">
        <v>9</v>
      </c>
      <c r="H5" s="75"/>
      <c r="S5" s="79">
        <v>6</v>
      </c>
      <c r="T5" s="79">
        <v>6</v>
      </c>
      <c r="U5" s="79">
        <v>2</v>
      </c>
      <c r="V5" s="79">
        <v>2</v>
      </c>
      <c r="AA5" s="78" t="s">
        <v>91</v>
      </c>
      <c r="AB5" s="77">
        <v>46</v>
      </c>
      <c r="AC5" s="77" t="e">
        <f>IF(AA5='دستمزد 1404'!#REF!,AB5,0)</f>
        <v>#REF!</v>
      </c>
    </row>
    <row r="6" spans="1:30" ht="24" customHeight="1" thickBot="1" x14ac:dyDescent="0.3">
      <c r="A6" s="75"/>
      <c r="B6" s="309"/>
      <c r="C6" s="114" t="s">
        <v>3</v>
      </c>
      <c r="D6" s="156">
        <v>0</v>
      </c>
      <c r="E6" s="108"/>
      <c r="F6" s="82"/>
      <c r="G6" s="82"/>
      <c r="H6" s="75"/>
      <c r="P6" s="94" t="s">
        <v>92</v>
      </c>
      <c r="Q6" s="94" t="e">
        <f>'دستمزد 1404'!#REF!*75%</f>
        <v>#REF!</v>
      </c>
      <c r="R6" s="94" t="e">
        <f>IF(Q8&gt;Q6,Q6,Q8)</f>
        <v>#REF!</v>
      </c>
      <c r="S6" s="79">
        <v>7</v>
      </c>
      <c r="T6" s="79">
        <v>7</v>
      </c>
      <c r="U6" s="79">
        <v>3</v>
      </c>
      <c r="V6" s="79">
        <v>3</v>
      </c>
      <c r="AA6" s="78" t="s">
        <v>93</v>
      </c>
      <c r="AB6" s="77">
        <v>53</v>
      </c>
      <c r="AC6" s="77" t="e">
        <f>IF(AA6='دستمزد 1404'!#REF!,AB6,0)</f>
        <v>#REF!</v>
      </c>
    </row>
    <row r="7" spans="1:30" ht="24" customHeight="1" thickBot="1" x14ac:dyDescent="0.3">
      <c r="A7" s="75"/>
      <c r="B7" s="309"/>
      <c r="C7" s="114" t="s">
        <v>4</v>
      </c>
      <c r="D7" s="156">
        <v>3188</v>
      </c>
      <c r="E7" s="108"/>
      <c r="F7" s="83" t="s">
        <v>94</v>
      </c>
      <c r="G7" s="84" t="s">
        <v>1</v>
      </c>
      <c r="H7" s="75"/>
      <c r="P7" s="94" t="s">
        <v>95</v>
      </c>
      <c r="Q7" s="94" t="e">
        <f>('دستمزد 1404'!#REF!+'دستمزد 1404'!#REF!)*75%</f>
        <v>#REF!</v>
      </c>
      <c r="R7" s="94" t="e">
        <f>IF(Q8&gt;Q7,Q7,Q8)</f>
        <v>#REF!</v>
      </c>
      <c r="S7" s="79">
        <v>8</v>
      </c>
      <c r="T7" s="79">
        <v>8</v>
      </c>
      <c r="U7" s="79">
        <v>4</v>
      </c>
      <c r="V7" s="79">
        <v>4</v>
      </c>
      <c r="Y7" s="77" t="s">
        <v>117</v>
      </c>
      <c r="AB7" s="104" t="s">
        <v>47</v>
      </c>
      <c r="AC7" s="104" t="e">
        <f>IF('دستمزد 1404'!#REF!="بلی",SUM(AC1:AC6),0)</f>
        <v>#REF!</v>
      </c>
      <c r="AD7" s="104" t="e">
        <f>AC7/12</f>
        <v>#REF!</v>
      </c>
    </row>
    <row r="8" spans="1:30" ht="24" customHeight="1" thickBot="1" x14ac:dyDescent="0.3">
      <c r="A8" s="75"/>
      <c r="B8" s="310"/>
      <c r="C8" s="112" t="s">
        <v>5</v>
      </c>
      <c r="D8" s="85">
        <f>SUM(D5:D7)</f>
        <v>7188</v>
      </c>
      <c r="E8" s="108"/>
      <c r="F8" s="109" t="s">
        <v>6</v>
      </c>
      <c r="G8" s="157">
        <v>0</v>
      </c>
      <c r="H8" s="75"/>
      <c r="P8" s="94" t="s">
        <v>96</v>
      </c>
      <c r="Q8" s="95" t="e">
        <f>'دستمزد 1404'!#REF!+'ورود اطلاعات (2)'!K11</f>
        <v>#REF!</v>
      </c>
      <c r="R8" s="94"/>
      <c r="S8" s="79">
        <v>9</v>
      </c>
      <c r="T8" s="79">
        <v>10</v>
      </c>
      <c r="U8" s="79">
        <v>5</v>
      </c>
      <c r="V8" s="79">
        <v>5</v>
      </c>
      <c r="Y8" s="77" t="s">
        <v>118</v>
      </c>
      <c r="AB8" s="104" t="s">
        <v>97</v>
      </c>
      <c r="AC8" s="104" t="e">
        <f>IF(('دستمزد 1404'!#REF!/2)&lt;500,'دستمزد 1404'!#REF!/2,500)</f>
        <v>#REF!</v>
      </c>
      <c r="AD8" s="104" t="e">
        <f>AC8</f>
        <v>#REF!</v>
      </c>
    </row>
    <row r="9" spans="1:30" ht="24" customHeight="1" thickBot="1" x14ac:dyDescent="0.3">
      <c r="A9" s="75"/>
      <c r="B9" s="301" t="s">
        <v>11</v>
      </c>
      <c r="C9" s="302"/>
      <c r="D9" s="158">
        <v>1500</v>
      </c>
      <c r="E9" s="108"/>
      <c r="F9" s="111" t="s">
        <v>7</v>
      </c>
      <c r="G9" s="159">
        <v>0</v>
      </c>
      <c r="H9" s="75"/>
      <c r="P9" s="94" t="s">
        <v>98</v>
      </c>
      <c r="Q9" s="94" t="e">
        <f>IF('دستمزد 1404'!#REF!="خیر",R6,R7)</f>
        <v>#REF!</v>
      </c>
      <c r="R9" s="94"/>
      <c r="S9" s="79">
        <v>10</v>
      </c>
      <c r="U9" s="79">
        <v>6</v>
      </c>
      <c r="V9" s="79">
        <v>6</v>
      </c>
      <c r="Y9" s="77" t="s">
        <v>119</v>
      </c>
      <c r="AB9" s="104" t="s">
        <v>124</v>
      </c>
      <c r="AC9" s="104" t="e">
        <f>Z4</f>
        <v>#REF!</v>
      </c>
      <c r="AD9" s="104" t="e">
        <f>AC9/12</f>
        <v>#REF!</v>
      </c>
    </row>
    <row r="10" spans="1:30" ht="24" customHeight="1" thickBot="1" x14ac:dyDescent="0.3">
      <c r="A10" s="75"/>
      <c r="B10" s="316" t="s">
        <v>12</v>
      </c>
      <c r="C10" s="317"/>
      <c r="D10" s="156">
        <v>0</v>
      </c>
      <c r="E10" s="108"/>
      <c r="F10" s="75"/>
      <c r="G10" s="75"/>
      <c r="H10" s="75"/>
      <c r="J10" s="75"/>
      <c r="K10" s="75"/>
      <c r="S10" s="79">
        <v>11</v>
      </c>
      <c r="U10" s="79">
        <v>7</v>
      </c>
      <c r="V10" s="79">
        <v>7</v>
      </c>
      <c r="AB10" s="104" t="s">
        <v>99</v>
      </c>
      <c r="AC10" s="104" t="e">
        <f>SUM(AC7:AC9)*'دستمزد 1404'!#REF!%</f>
        <v>#REF!</v>
      </c>
      <c r="AD10" s="104" t="e">
        <f>SUM(AD7:AD9)*'دستمزد 1404'!#REF!%</f>
        <v>#REF!</v>
      </c>
    </row>
    <row r="11" spans="1:30" ht="24" customHeight="1" x14ac:dyDescent="0.25">
      <c r="A11" s="75"/>
      <c r="B11" s="316" t="s">
        <v>13</v>
      </c>
      <c r="C11" s="317"/>
      <c r="D11" s="156">
        <v>0</v>
      </c>
      <c r="E11" s="108"/>
      <c r="F11" s="83" t="s">
        <v>94</v>
      </c>
      <c r="G11" s="84" t="s">
        <v>100</v>
      </c>
      <c r="H11" s="75"/>
      <c r="J11" s="92" t="s">
        <v>105</v>
      </c>
      <c r="K11" s="81" t="e">
        <f>IF('دستمزد 1404'!#REF!="قراردادی",AD11*80%,AC11)</f>
        <v>#REF!</v>
      </c>
      <c r="S11" s="79">
        <v>12</v>
      </c>
      <c r="U11" s="79">
        <v>8</v>
      </c>
      <c r="V11" s="79">
        <v>8</v>
      </c>
      <c r="AB11" s="104" t="s">
        <v>122</v>
      </c>
      <c r="AC11" s="105" t="e">
        <f>SUM(AC7:AC10)</f>
        <v>#REF!</v>
      </c>
      <c r="AD11" s="105" t="e">
        <f>SUM(AD7:AD10)</f>
        <v>#REF!</v>
      </c>
    </row>
    <row r="12" spans="1:30" ht="24" customHeight="1" thickBot="1" x14ac:dyDescent="0.3">
      <c r="A12" s="75"/>
      <c r="B12" s="316" t="s">
        <v>14</v>
      </c>
      <c r="C12" s="317"/>
      <c r="D12" s="156">
        <v>0</v>
      </c>
      <c r="E12" s="108"/>
      <c r="F12" s="113" t="s">
        <v>19</v>
      </c>
      <c r="G12" s="160">
        <v>21</v>
      </c>
      <c r="H12" s="75"/>
      <c r="J12" s="93" t="s">
        <v>106</v>
      </c>
      <c r="K12" s="103" t="e">
        <f>IF(Q9&gt;'دستمزد 1404'!#REF!,Q9,'دستمزد 1404'!#REF!)</f>
        <v>#REF!</v>
      </c>
      <c r="S12" s="79">
        <v>13</v>
      </c>
      <c r="U12" s="79">
        <v>9</v>
      </c>
      <c r="V12" s="79">
        <v>9</v>
      </c>
    </row>
    <row r="13" spans="1:30" ht="24" customHeight="1" x14ac:dyDescent="0.25">
      <c r="A13" s="75"/>
      <c r="B13" s="316" t="s">
        <v>15</v>
      </c>
      <c r="C13" s="317"/>
      <c r="D13" s="156">
        <v>800</v>
      </c>
      <c r="E13" s="108"/>
      <c r="F13" s="113" t="s">
        <v>20</v>
      </c>
      <c r="G13" s="161">
        <v>0</v>
      </c>
      <c r="H13" s="75"/>
      <c r="S13" s="79">
        <v>15</v>
      </c>
      <c r="U13" s="79">
        <v>10</v>
      </c>
      <c r="V13" s="79">
        <v>10</v>
      </c>
    </row>
    <row r="14" spans="1:30" ht="24" customHeight="1" x14ac:dyDescent="0.25">
      <c r="A14" s="75"/>
      <c r="B14" s="316" t="s">
        <v>16</v>
      </c>
      <c r="C14" s="317"/>
      <c r="D14" s="156">
        <v>0</v>
      </c>
      <c r="E14" s="108"/>
      <c r="F14" s="113" t="s">
        <v>21</v>
      </c>
      <c r="G14" s="161">
        <v>0</v>
      </c>
      <c r="H14" s="75"/>
      <c r="U14" s="79">
        <v>11</v>
      </c>
      <c r="V14" s="79">
        <v>11</v>
      </c>
    </row>
    <row r="15" spans="1:30" ht="24" customHeight="1" thickBot="1" x14ac:dyDescent="0.3">
      <c r="A15" s="75"/>
      <c r="B15" s="313" t="s">
        <v>17</v>
      </c>
      <c r="C15" s="314"/>
      <c r="D15" s="162">
        <v>0</v>
      </c>
      <c r="E15" s="108"/>
      <c r="F15" s="111" t="s">
        <v>101</v>
      </c>
      <c r="G15" s="155">
        <v>0</v>
      </c>
      <c r="H15" s="75"/>
      <c r="U15" s="79">
        <v>12</v>
      </c>
      <c r="V15" s="79">
        <v>12</v>
      </c>
    </row>
    <row r="16" spans="1:30" ht="20.25" thickBot="1" x14ac:dyDescent="0.3">
      <c r="A16" s="75"/>
      <c r="B16" s="86"/>
      <c r="C16" s="86"/>
      <c r="D16" s="87"/>
      <c r="E16" s="75"/>
      <c r="F16" s="75"/>
      <c r="G16" s="75"/>
      <c r="H16" s="75"/>
      <c r="U16" s="79">
        <v>13</v>
      </c>
      <c r="V16" s="79">
        <v>13</v>
      </c>
    </row>
    <row r="17" spans="1:22" ht="19.5" x14ac:dyDescent="0.25">
      <c r="A17" s="75"/>
      <c r="B17" s="311"/>
      <c r="C17" s="312"/>
      <c r="D17" s="312"/>
      <c r="E17" s="312"/>
      <c r="F17" s="312"/>
      <c r="H17" s="75"/>
      <c r="U17" s="79">
        <v>14</v>
      </c>
      <c r="V17" s="79">
        <v>14</v>
      </c>
    </row>
    <row r="18" spans="1:22" ht="20.25" thickBot="1" x14ac:dyDescent="0.3">
      <c r="A18" s="75"/>
      <c r="B18" s="313" t="s">
        <v>102</v>
      </c>
      <c r="C18" s="314"/>
      <c r="D18" s="314"/>
      <c r="E18" s="314"/>
      <c r="F18" s="314"/>
      <c r="G18" s="162" t="s">
        <v>9</v>
      </c>
      <c r="H18" s="75"/>
      <c r="U18" s="79">
        <v>15</v>
      </c>
      <c r="V18" s="79">
        <v>15</v>
      </c>
    </row>
    <row r="19" spans="1:22" ht="25.5" customHeight="1" x14ac:dyDescent="0.25">
      <c r="A19" s="75"/>
      <c r="B19" s="75"/>
      <c r="C19" s="75"/>
      <c r="D19" s="75"/>
      <c r="E19" s="75"/>
      <c r="F19" s="75"/>
      <c r="G19" s="75"/>
      <c r="H19" s="75"/>
      <c r="U19" s="79">
        <v>16</v>
      </c>
      <c r="V19" s="79">
        <v>16</v>
      </c>
    </row>
    <row r="20" spans="1:22" x14ac:dyDescent="0.25">
      <c r="A20" s="75"/>
      <c r="E20" s="75"/>
      <c r="F20" s="75"/>
      <c r="G20" s="75"/>
      <c r="H20" s="75"/>
      <c r="U20" s="79">
        <v>17</v>
      </c>
      <c r="V20" s="79">
        <v>17</v>
      </c>
    </row>
    <row r="21" spans="1:22" x14ac:dyDescent="0.25">
      <c r="A21" s="75"/>
      <c r="E21" s="75"/>
      <c r="F21" s="75"/>
      <c r="G21" s="75"/>
      <c r="H21" s="75"/>
      <c r="U21" s="79">
        <v>18</v>
      </c>
      <c r="V21" s="79">
        <v>18</v>
      </c>
    </row>
    <row r="22" spans="1:22" ht="19.5" x14ac:dyDescent="0.25">
      <c r="A22" s="75"/>
      <c r="E22" s="88"/>
      <c r="F22" s="75"/>
      <c r="G22" s="75"/>
      <c r="H22" s="75"/>
      <c r="U22" s="79">
        <v>19</v>
      </c>
      <c r="V22" s="79">
        <v>19</v>
      </c>
    </row>
    <row r="23" spans="1:22" ht="21" x14ac:dyDescent="0.55000000000000004">
      <c r="A23" s="75"/>
      <c r="E23" s="89"/>
      <c r="F23" s="315"/>
      <c r="G23" s="315"/>
      <c r="H23" s="75"/>
      <c r="U23" s="79">
        <v>20</v>
      </c>
      <c r="V23" s="79">
        <v>20</v>
      </c>
    </row>
    <row r="24" spans="1:22" x14ac:dyDescent="0.25">
      <c r="A24" s="75"/>
      <c r="E24" s="90"/>
      <c r="F24" s="320"/>
      <c r="G24" s="320"/>
      <c r="H24" s="75"/>
      <c r="U24" s="79">
        <v>21</v>
      </c>
      <c r="V24" s="79">
        <v>21</v>
      </c>
    </row>
    <row r="25" spans="1:22" ht="19.5" x14ac:dyDescent="0.25">
      <c r="A25" s="75"/>
      <c r="E25" s="75"/>
      <c r="F25" s="321"/>
      <c r="G25" s="321"/>
      <c r="H25" s="75"/>
      <c r="U25" s="79">
        <v>22</v>
      </c>
      <c r="V25" s="79">
        <v>22</v>
      </c>
    </row>
    <row r="26" spans="1:22" x14ac:dyDescent="0.25">
      <c r="A26" s="75"/>
      <c r="E26" s="91"/>
      <c r="F26" s="322"/>
      <c r="G26" s="322"/>
      <c r="H26" s="75"/>
      <c r="U26" s="79">
        <v>23</v>
      </c>
      <c r="V26" s="79">
        <v>23</v>
      </c>
    </row>
    <row r="27" spans="1:22" x14ac:dyDescent="0.25">
      <c r="A27" s="75"/>
      <c r="E27" s="75"/>
      <c r="F27" s="318"/>
      <c r="G27" s="319"/>
      <c r="H27" s="75"/>
      <c r="U27" s="79">
        <v>24</v>
      </c>
      <c r="V27" s="79">
        <v>24</v>
      </c>
    </row>
    <row r="28" spans="1:22" x14ac:dyDescent="0.25">
      <c r="A28" s="75"/>
      <c r="E28" s="75"/>
      <c r="F28" s="318"/>
      <c r="G28" s="319"/>
      <c r="H28" s="75"/>
      <c r="U28" s="79">
        <v>25</v>
      </c>
      <c r="V28" s="79">
        <v>25</v>
      </c>
    </row>
    <row r="29" spans="1:22" x14ac:dyDescent="0.25">
      <c r="A29" s="75"/>
      <c r="B29" s="75"/>
      <c r="C29" s="75"/>
      <c r="D29" s="75"/>
      <c r="E29" s="75"/>
      <c r="F29" s="75"/>
      <c r="G29" s="75"/>
      <c r="H29" s="75"/>
      <c r="U29" s="79">
        <v>26</v>
      </c>
      <c r="V29" s="79">
        <v>26</v>
      </c>
    </row>
    <row r="30" spans="1:22" x14ac:dyDescent="0.25">
      <c r="U30" s="79">
        <v>27</v>
      </c>
      <c r="V30" s="79">
        <v>27</v>
      </c>
    </row>
    <row r="31" spans="1:22" x14ac:dyDescent="0.25">
      <c r="U31" s="79">
        <v>28</v>
      </c>
      <c r="V31" s="79">
        <v>28</v>
      </c>
    </row>
    <row r="32" spans="1:22" x14ac:dyDescent="0.25">
      <c r="U32" s="79">
        <v>29</v>
      </c>
      <c r="V32" s="79">
        <v>29</v>
      </c>
    </row>
    <row r="33" spans="10:22" x14ac:dyDescent="0.25">
      <c r="U33" s="79">
        <v>30</v>
      </c>
      <c r="V33" s="79">
        <v>30</v>
      </c>
    </row>
    <row r="34" spans="10:22" x14ac:dyDescent="0.25">
      <c r="V34" s="79">
        <v>31</v>
      </c>
    </row>
    <row r="35" spans="10:22" x14ac:dyDescent="0.25">
      <c r="V35" s="79">
        <v>32</v>
      </c>
    </row>
    <row r="36" spans="10:22" x14ac:dyDescent="0.25">
      <c r="V36" s="79">
        <v>33</v>
      </c>
    </row>
    <row r="37" spans="10:22" ht="18.75" thickBot="1" x14ac:dyDescent="0.3">
      <c r="V37" s="79">
        <v>34</v>
      </c>
    </row>
    <row r="38" spans="10:22" ht="20.25" thickBot="1" x14ac:dyDescent="0.3">
      <c r="J38" s="106"/>
      <c r="K38" s="106"/>
      <c r="V38" s="79">
        <v>35</v>
      </c>
    </row>
    <row r="39" spans="10:22" ht="21.75" thickBot="1" x14ac:dyDescent="0.3">
      <c r="J39" s="99"/>
      <c r="K39" s="101"/>
      <c r="V39" s="79">
        <v>36</v>
      </c>
    </row>
    <row r="40" spans="10:22" ht="20.25" x14ac:dyDescent="0.25">
      <c r="J40" s="98"/>
      <c r="K40" s="101"/>
      <c r="V40" s="79">
        <v>37</v>
      </c>
    </row>
    <row r="41" spans="10:22" ht="20.25" x14ac:dyDescent="0.25">
      <c r="J41" s="96"/>
      <c r="K41" s="101"/>
      <c r="V41" s="79">
        <v>38</v>
      </c>
    </row>
    <row r="42" spans="10:22" ht="20.25" x14ac:dyDescent="0.25">
      <c r="J42" s="96"/>
      <c r="K42" s="101"/>
      <c r="V42" s="79">
        <v>39</v>
      </c>
    </row>
    <row r="43" spans="10:22" ht="20.25" x14ac:dyDescent="0.25">
      <c r="J43" s="96"/>
      <c r="K43" s="101"/>
      <c r="V43" s="79">
        <v>40</v>
      </c>
    </row>
    <row r="44" spans="10:22" ht="20.25" x14ac:dyDescent="0.25">
      <c r="J44" s="96"/>
      <c r="K44" s="101"/>
      <c r="V44" s="79">
        <v>41</v>
      </c>
    </row>
    <row r="45" spans="10:22" ht="21" thickBot="1" x14ac:dyDescent="0.3">
      <c r="J45" s="97"/>
      <c r="K45" s="101"/>
      <c r="V45" s="79">
        <v>42</v>
      </c>
    </row>
    <row r="46" spans="10:22" x14ac:dyDescent="0.25">
      <c r="J46" s="49"/>
      <c r="K46" s="49"/>
      <c r="V46" s="79">
        <v>43</v>
      </c>
    </row>
    <row r="47" spans="10:22" ht="24" x14ac:dyDescent="0.25">
      <c r="J47" s="74" t="s">
        <v>77</v>
      </c>
      <c r="K47" s="163">
        <v>15630000</v>
      </c>
      <c r="V47" s="79">
        <v>44</v>
      </c>
    </row>
    <row r="48" spans="10:22" ht="24" x14ac:dyDescent="0.25">
      <c r="J48" s="74" t="s">
        <v>78</v>
      </c>
      <c r="K48" s="163">
        <f>K47+(K47*15%)</f>
        <v>17974500</v>
      </c>
      <c r="V48" s="79">
        <v>45</v>
      </c>
    </row>
    <row r="49" spans="10:22" ht="24" x14ac:dyDescent="0.25">
      <c r="J49" s="74" t="s">
        <v>107</v>
      </c>
      <c r="K49" s="164" t="e">
        <f>ROUND('دستمزد 1404'!#REF!+('دستمزد 1404'!#REF!*K50%),0)</f>
        <v>#REF!</v>
      </c>
      <c r="V49" s="79">
        <v>46</v>
      </c>
    </row>
    <row r="50" spans="10:22" ht="24" x14ac:dyDescent="0.25">
      <c r="J50" s="74" t="s">
        <v>79</v>
      </c>
      <c r="K50" s="165">
        <f>IF(K52&gt;Sheet2!H10,Sheet2!H10,K52)</f>
        <v>0</v>
      </c>
      <c r="V50" s="79">
        <v>47</v>
      </c>
    </row>
    <row r="51" spans="10:22" ht="24" x14ac:dyDescent="0.25">
      <c r="J51" s="74" t="s">
        <v>112</v>
      </c>
      <c r="K51" s="166">
        <f>'11'!E28/1000000</f>
        <v>0</v>
      </c>
      <c r="V51" s="79">
        <v>48</v>
      </c>
    </row>
    <row r="52" spans="10:22" ht="24" x14ac:dyDescent="0.25">
      <c r="J52" s="74" t="s">
        <v>113</v>
      </c>
      <c r="K52" s="166">
        <f>IF(K51&lt;=51,((-Sheet2!H10)/(27))*(K51-51),0)</f>
        <v>0</v>
      </c>
      <c r="V52" s="79">
        <v>49</v>
      </c>
    </row>
    <row r="53" spans="10:22" x14ac:dyDescent="0.25">
      <c r="V53" s="79">
        <v>50</v>
      </c>
    </row>
  </sheetData>
  <sheetProtection algorithmName="SHA-512" hashValue="2Ta+ZFlvYYU4oyCDvpgmsRR0G3UX8HuOPCOHf/wzzTix8tgyFzA8jlyeyeRwtQ8h0GAisCHDaBGNqBIZ41u7ng==" saltValue="Md4pE7tm/d0x261aFS3gSg==" spinCount="100000" sheet="1" objects="1" scenarios="1"/>
  <mergeCells count="20">
    <mergeCell ref="F28:G28"/>
    <mergeCell ref="F24:G24"/>
    <mergeCell ref="F25:G25"/>
    <mergeCell ref="F26:G26"/>
    <mergeCell ref="F27:G27"/>
    <mergeCell ref="B17:F17"/>
    <mergeCell ref="B18:F18"/>
    <mergeCell ref="F23:G23"/>
    <mergeCell ref="B10:C10"/>
    <mergeCell ref="B11:C11"/>
    <mergeCell ref="B12:C12"/>
    <mergeCell ref="B13:C13"/>
    <mergeCell ref="B14:C14"/>
    <mergeCell ref="B15:C15"/>
    <mergeCell ref="B9:C9"/>
    <mergeCell ref="B1:G1"/>
    <mergeCell ref="B2:G2"/>
    <mergeCell ref="B3:G3"/>
    <mergeCell ref="B4:C4"/>
    <mergeCell ref="B5:B8"/>
  </mergeCells>
  <dataValidations count="5">
    <dataValidation type="list" allowBlank="1" showInputMessage="1" showErrorMessage="1" sqref="G5 G18" xr:uid="{00000000-0002-0000-0300-000000000000}">
      <formula1>$W$2:$W$3</formula1>
    </dataValidation>
    <dataValidation type="list" allowBlank="1" showInputMessage="1" showErrorMessage="1" sqref="G15" xr:uid="{00000000-0002-0000-0300-000001000000}">
      <formula1>$U$3:$U$33</formula1>
    </dataValidation>
    <dataValidation type="list" allowBlank="1" showInputMessage="1" showErrorMessage="1" sqref="G14" xr:uid="{00000000-0002-0000-0300-000002000000}">
      <formula1>$S$3:$S$13</formula1>
    </dataValidation>
    <dataValidation type="list" allowBlank="1" showInputMessage="1" showErrorMessage="1" sqref="G13" xr:uid="{00000000-0002-0000-0300-000003000000}">
      <formula1>$T$3:$T$8</formula1>
    </dataValidation>
    <dataValidation type="list" allowBlank="1" showInputMessage="1" showErrorMessage="1" sqref="G12" xr:uid="{00000000-0002-0000-0300-000004000000}">
      <formula1>$V$3:$V$53</formula1>
    </dataValidation>
  </dataValidations>
  <printOptions horizontalCentered="1"/>
  <pageMargins left="0.23622047244094491" right="0.23622047244094491"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دستمزد 1404</vt:lpstr>
      <vt:lpstr>'11'!Print_Area</vt:lpstr>
      <vt:lpstr>'دستمزد 1404'!Print_Area</vt:lpstr>
      <vt:lpstr>'ورود اطلاعات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2025-03-16T09:39:43Z</dcterms:modified>
</cp:coreProperties>
</file>